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2" activeTab="1"/>
  </bookViews>
  <sheets>
    <sheet name="SPESE PERSONALE" sheetId="1" r:id="rId1"/>
    <sheet name="RIEPILOGO" sheetId="2" r:id="rId2"/>
    <sheet name="CAPITOLI" sheetId="3" r:id="rId3"/>
    <sheet name="QUALIFICHE" sheetId="4" r:id="rId4"/>
    <sheet name="FSCC" sheetId="5" r:id="rId5"/>
  </sheets>
  <definedNames>
    <definedName name="_xlnm._FilterDatabase" localSheetId="0" hidden="1">'SPESE PERSONALE'!$H$1:$H$142</definedName>
    <definedName name="_xlnm.Print_Area" localSheetId="0">'SPESE PERSONALE'!$A$1:$X$135</definedName>
    <definedName name="DATABASE">'SPESE PERSONALE'!$B$2:$S$102</definedName>
    <definedName name="_xlnm.Print_Titles" localSheetId="0">'SPESE PERSONALE'!$1:$3</definedName>
  </definedNames>
  <calcPr fullCalcOnLoad="1"/>
</workbook>
</file>

<file path=xl/sharedStrings.xml><?xml version="1.0" encoding="utf-8"?>
<sst xmlns="http://schemas.openxmlformats.org/spreadsheetml/2006/main" count="707" uniqueCount="486">
  <si>
    <t>FUNZIONE</t>
  </si>
  <si>
    <t>SERVIZIO</t>
  </si>
  <si>
    <t>R</t>
  </si>
  <si>
    <t>D4</t>
  </si>
  <si>
    <t>D3</t>
  </si>
  <si>
    <t>CUPPONE SEBASTIANO</t>
  </si>
  <si>
    <t>3D</t>
  </si>
  <si>
    <t>FILIERI TOMMASO</t>
  </si>
  <si>
    <t>B4</t>
  </si>
  <si>
    <t>LANZILLOTTO MARIA</t>
  </si>
  <si>
    <t>D1</t>
  </si>
  <si>
    <t>COLAZZO PATRIZIA</t>
  </si>
  <si>
    <t>MICCOLIS MIRELLA</t>
  </si>
  <si>
    <t>6B</t>
  </si>
  <si>
    <t>MURRONE PIERO</t>
  </si>
  <si>
    <t>5D</t>
  </si>
  <si>
    <t>DE GIORGI TONIA</t>
  </si>
  <si>
    <t>4B</t>
  </si>
  <si>
    <t>MARINACI ANTONIO</t>
  </si>
  <si>
    <t>COLITTA FRANCESCO</t>
  </si>
  <si>
    <t>B3</t>
  </si>
  <si>
    <t>MAGLIO MAURO</t>
  </si>
  <si>
    <t>MUSARDO TONINO</t>
  </si>
  <si>
    <t>C3</t>
  </si>
  <si>
    <t>LINCIANO TERENZIO</t>
  </si>
  <si>
    <t>CAVALERA MARIO</t>
  </si>
  <si>
    <t>CUPPONE IRENE</t>
  </si>
  <si>
    <t>C1</t>
  </si>
  <si>
    <t>C4</t>
  </si>
  <si>
    <t>CASARANO ANNA</t>
  </si>
  <si>
    <t>A3</t>
  </si>
  <si>
    <t>5B</t>
  </si>
  <si>
    <t>BOVE LUCIANA</t>
  </si>
  <si>
    <t>CAMPEGGIO GABRIELLA</t>
  </si>
  <si>
    <t>CAPOZZA CLAUDIA</t>
  </si>
  <si>
    <t>COLITTA DOLORES</t>
  </si>
  <si>
    <t>LERARIO LIDIA</t>
  </si>
  <si>
    <t>NICO MARIANNINA</t>
  </si>
  <si>
    <t>PERRONE FERNANDA</t>
  </si>
  <si>
    <t>SETTIMO ANNARITA</t>
  </si>
  <si>
    <t>TERRAGNO AGOSTINO</t>
  </si>
  <si>
    <t>CARACCIOLO SALVATORE</t>
  </si>
  <si>
    <t>VALENZA GRAZIA</t>
  </si>
  <si>
    <t>CALO' SILVANA</t>
  </si>
  <si>
    <t>LEO ANNAROSA</t>
  </si>
  <si>
    <t>MUSCA MARIA</t>
  </si>
  <si>
    <t>POTENZA LUCIA</t>
  </si>
  <si>
    <t>COLAZZO AGATA</t>
  </si>
  <si>
    <t>A4</t>
  </si>
  <si>
    <t>SCRASCIA LUCIANO</t>
  </si>
  <si>
    <t>POTENZA FRANCESCO</t>
  </si>
  <si>
    <t>MARTELLO BRUNO</t>
  </si>
  <si>
    <t>MILELLI ANNA</t>
  </si>
  <si>
    <t>MICCOLI COSIMO</t>
  </si>
  <si>
    <t>MUSARDO GIOVANNI</t>
  </si>
  <si>
    <t>GIRA ANNA MARIA</t>
  </si>
  <si>
    <t>ROLLI MARIAGRAZIA</t>
  </si>
  <si>
    <t>PAGANO MAURIZIO</t>
  </si>
  <si>
    <t>4D</t>
  </si>
  <si>
    <t>RIZZO DAVIDE</t>
  </si>
  <si>
    <t>MANISCO VINCENZO</t>
  </si>
  <si>
    <t>VONGHIA ANTONIO</t>
  </si>
  <si>
    <t>RAMUNDO MARIA GRAZIA</t>
  </si>
  <si>
    <t>MILELLI ANNUNZIATA</t>
  </si>
  <si>
    <t>MICCOLI MARCO</t>
  </si>
  <si>
    <t>PISANELLI MIRIANA</t>
  </si>
  <si>
    <t>PRETE VITO FULVIO</t>
  </si>
  <si>
    <t>FALCONIERI FERNANDO</t>
  </si>
  <si>
    <t>ZIZZARI LUIGI</t>
  </si>
  <si>
    <t>MANIERI NELLA</t>
  </si>
  <si>
    <t>MALERBA MASSIMO</t>
  </si>
  <si>
    <t>CUPPONE SILVIO</t>
  </si>
  <si>
    <t>TOMA ORONZO</t>
  </si>
  <si>
    <t>STORELLA MARIA ANTONIETTA</t>
  </si>
  <si>
    <t>FAVARELLI GIOVANNI</t>
  </si>
  <si>
    <t>B2</t>
  </si>
  <si>
    <t>CAVALERA ELIO</t>
  </si>
  <si>
    <t>CAPUTO MICHELE</t>
  </si>
  <si>
    <t>MAGLIO ADDOLORATA</t>
  </si>
  <si>
    <t>ZUCCALA' COSIMO</t>
  </si>
  <si>
    <t>BOTRUGNO ROCCO</t>
  </si>
  <si>
    <t>COLOPI GIUSEPPE</t>
  </si>
  <si>
    <t>SPIRITO ANTONIO</t>
  </si>
  <si>
    <t>01</t>
  </si>
  <si>
    <t>SERGI LUCIO</t>
  </si>
  <si>
    <t>RAMUNDO ANNELISA</t>
  </si>
  <si>
    <t>MARCUCCIO FRANCESCO</t>
  </si>
  <si>
    <t>BRAMATO ANNARITA</t>
  </si>
  <si>
    <t>B1</t>
  </si>
  <si>
    <t>Cognome e Nome del dipendente</t>
  </si>
  <si>
    <t>n°</t>
  </si>
  <si>
    <t>010000</t>
  </si>
  <si>
    <t>Funzioni generali di ammin/ne,di gestione e controllo</t>
  </si>
  <si>
    <t>010100</t>
  </si>
  <si>
    <t>Organi istituzi., partecip. e decentram.</t>
  </si>
  <si>
    <t>020000</t>
  </si>
  <si>
    <t>Funzioni relative alla giustizia</t>
  </si>
  <si>
    <t>030000</t>
  </si>
  <si>
    <t>Funzioni di polizia locale</t>
  </si>
  <si>
    <t>040000</t>
  </si>
  <si>
    <t>Funzioni di istruzione pubblica</t>
  </si>
  <si>
    <t>050000</t>
  </si>
  <si>
    <t>Funzioni relative alla cultura ed ai beni culturali</t>
  </si>
  <si>
    <t>060000</t>
  </si>
  <si>
    <t>Funzioni nel settore sportivo e ricreativo</t>
  </si>
  <si>
    <t>070000</t>
  </si>
  <si>
    <t>Funzioni nel campo turistico</t>
  </si>
  <si>
    <t>080000</t>
  </si>
  <si>
    <t>Funzioni nel campo della viabilità e trasporto</t>
  </si>
  <si>
    <t>090000</t>
  </si>
  <si>
    <t>Funzioni riguardante la gestione del territorio ed ambiente</t>
  </si>
  <si>
    <t>100000</t>
  </si>
  <si>
    <t>Funzioni nel settore sociale</t>
  </si>
  <si>
    <t>110000</t>
  </si>
  <si>
    <t>Funzioni nel campo dello sviluppo economico</t>
  </si>
  <si>
    <t>120000</t>
  </si>
  <si>
    <t>Funzioni relative ai servizi produttivi</t>
  </si>
  <si>
    <t>010200</t>
  </si>
  <si>
    <t>Segreteria generale, personale ed organizzazione</t>
  </si>
  <si>
    <t>010300</t>
  </si>
  <si>
    <t>Gestione econ./finanz./ progr./ provved./controllo gestione</t>
  </si>
  <si>
    <t>010400</t>
  </si>
  <si>
    <t>Gestione delle entrate tributarie e servizi fiscali</t>
  </si>
  <si>
    <t>010500</t>
  </si>
  <si>
    <t>Gestione dei beni demaniali e patrimoniali</t>
  </si>
  <si>
    <t>010600</t>
  </si>
  <si>
    <t>Ufficio tecnico</t>
  </si>
  <si>
    <t>010700</t>
  </si>
  <si>
    <t>Anagrafe, stato civile, elettorale, leva e servizio statist.</t>
  </si>
  <si>
    <t>010800</t>
  </si>
  <si>
    <t>Altri servizi generali</t>
  </si>
  <si>
    <t>020100</t>
  </si>
  <si>
    <t>Uffici giudiziari</t>
  </si>
  <si>
    <t>020200</t>
  </si>
  <si>
    <t>Casa circondariale ed altri servizi</t>
  </si>
  <si>
    <t>030100</t>
  </si>
  <si>
    <t>Polizia municipale</t>
  </si>
  <si>
    <t>030200</t>
  </si>
  <si>
    <t>Polizia commerciale</t>
  </si>
  <si>
    <t>030300</t>
  </si>
  <si>
    <t>Polizia amministrativa</t>
  </si>
  <si>
    <t>040100</t>
  </si>
  <si>
    <t>Scuola materna</t>
  </si>
  <si>
    <t>040200</t>
  </si>
  <si>
    <t>Istruzione elementare</t>
  </si>
  <si>
    <t>040300</t>
  </si>
  <si>
    <t>Istruzione media</t>
  </si>
  <si>
    <t>040400</t>
  </si>
  <si>
    <t>Istruzione secondaria superiore</t>
  </si>
  <si>
    <t>040500</t>
  </si>
  <si>
    <t>Assistenza scolastica, trasporto, refezione ed altri servizi</t>
  </si>
  <si>
    <t>050100</t>
  </si>
  <si>
    <t>Biblioteche, musei e pinacoteche</t>
  </si>
  <si>
    <t>050200</t>
  </si>
  <si>
    <t>Teatri, attività cultur. e serv. diversi nel sett. culturale</t>
  </si>
  <si>
    <t>060100</t>
  </si>
  <si>
    <t>Piscine comunali</t>
  </si>
  <si>
    <t>060200</t>
  </si>
  <si>
    <t>Stadio comunale, palazzo dello sport ed altri impianti</t>
  </si>
  <si>
    <t>060300</t>
  </si>
  <si>
    <t>Manifestazioni diverse nel settore sportivo e ricreativo</t>
  </si>
  <si>
    <t>070100</t>
  </si>
  <si>
    <t>Servizi turistici</t>
  </si>
  <si>
    <t>070200</t>
  </si>
  <si>
    <t>Manifestazioni turistiche</t>
  </si>
  <si>
    <t>080100</t>
  </si>
  <si>
    <t>Viabilità, circolazione stradale e serv. connessi</t>
  </si>
  <si>
    <t>080200</t>
  </si>
  <si>
    <t>Illuminazione pubblica e serv. connessi</t>
  </si>
  <si>
    <t>080300</t>
  </si>
  <si>
    <t>Trasporti pubblici locali e serv. connessi</t>
  </si>
  <si>
    <t>090100</t>
  </si>
  <si>
    <t>Urbanistica e gestione del territorio</t>
  </si>
  <si>
    <t>090200</t>
  </si>
  <si>
    <t>Edilizia residenziale pubblica e P.E.E.P.</t>
  </si>
  <si>
    <t>090300</t>
  </si>
  <si>
    <t>Servizi di protezione civile</t>
  </si>
  <si>
    <t>090400</t>
  </si>
  <si>
    <t>Servizio idrico integrato</t>
  </si>
  <si>
    <t>090500</t>
  </si>
  <si>
    <t>Servizio smaltimento rifiuti</t>
  </si>
  <si>
    <t>090600</t>
  </si>
  <si>
    <t>Parchi e servizi per la tutela ambientale del verde, territ.</t>
  </si>
  <si>
    <t>100100</t>
  </si>
  <si>
    <t>Asili nido, sevizi per l'infanzia e per i minori</t>
  </si>
  <si>
    <t>100200</t>
  </si>
  <si>
    <t>Servizi di prevenzione e riabilitazione</t>
  </si>
  <si>
    <t>100300</t>
  </si>
  <si>
    <t>Strutture residenziali e di ricovero per anziani</t>
  </si>
  <si>
    <t>100400</t>
  </si>
  <si>
    <t>Assistenza, beneficenza pubbl. e serv. diversi alla persona</t>
  </si>
  <si>
    <t>100500</t>
  </si>
  <si>
    <t>Servizio necroscopico e cimiteriale</t>
  </si>
  <si>
    <t>110100</t>
  </si>
  <si>
    <t>Affissioni e pubblicità</t>
  </si>
  <si>
    <t>110200</t>
  </si>
  <si>
    <t>Fiere, mercati e servizi connessi</t>
  </si>
  <si>
    <t>110300</t>
  </si>
  <si>
    <t>Mattatoio e servizi connessi</t>
  </si>
  <si>
    <t>110400</t>
  </si>
  <si>
    <t>Servizi relativi all'industria</t>
  </si>
  <si>
    <t>110500</t>
  </si>
  <si>
    <t>Servizi relativi al commercio</t>
  </si>
  <si>
    <t>110600</t>
  </si>
  <si>
    <t>Servizi relativi all'artigianato</t>
  </si>
  <si>
    <t>110700</t>
  </si>
  <si>
    <t>Servizi relativi all'agricoltura</t>
  </si>
  <si>
    <t>120100</t>
  </si>
  <si>
    <t>Distribuzione gas</t>
  </si>
  <si>
    <t>120200</t>
  </si>
  <si>
    <t>Centrale del latte</t>
  </si>
  <si>
    <t>120300</t>
  </si>
  <si>
    <t>Distribuzione energia elettrica</t>
  </si>
  <si>
    <t>120400</t>
  </si>
  <si>
    <t>Teleriscaldamento</t>
  </si>
  <si>
    <t>120500</t>
  </si>
  <si>
    <t>Farmacie</t>
  </si>
  <si>
    <t>120600</t>
  </si>
  <si>
    <t>Altri servizi produttivi</t>
  </si>
  <si>
    <t>010801</t>
  </si>
  <si>
    <t>Sede uffici comunali:Centralino</t>
  </si>
  <si>
    <t>040101</t>
  </si>
  <si>
    <t>Scuole materne</t>
  </si>
  <si>
    <t>040201</t>
  </si>
  <si>
    <t>Scuole elementari</t>
  </si>
  <si>
    <t>040301</t>
  </si>
  <si>
    <t>Scuole medie inferiori</t>
  </si>
  <si>
    <t>040501</t>
  </si>
  <si>
    <t>Trasporto scolastico</t>
  </si>
  <si>
    <t>Adeguamento edifici scolastici</t>
  </si>
  <si>
    <t>100501</t>
  </si>
  <si>
    <t>Cimitero comunale</t>
  </si>
  <si>
    <t>040502</t>
  </si>
  <si>
    <t>Refezione scolastica</t>
  </si>
  <si>
    <t>090201</t>
  </si>
  <si>
    <t>Piano di zona 167</t>
  </si>
  <si>
    <t>090401</t>
  </si>
  <si>
    <t>Rete idrica</t>
  </si>
  <si>
    <t>090402</t>
  </si>
  <si>
    <t>Rete fognaria</t>
  </si>
  <si>
    <t>090501</t>
  </si>
  <si>
    <t>Nettezza Urbana</t>
  </si>
  <si>
    <t>100101</t>
  </si>
  <si>
    <t>Asilo Nido</t>
  </si>
  <si>
    <t>090601</t>
  </si>
  <si>
    <t>Ville comunali</t>
  </si>
  <si>
    <t>060201</t>
  </si>
  <si>
    <t>Impianti sportivi</t>
  </si>
  <si>
    <t>060202</t>
  </si>
  <si>
    <t>Campo sportivo</t>
  </si>
  <si>
    <t>100301</t>
  </si>
  <si>
    <t>Casa di riposo per anziani</t>
  </si>
  <si>
    <t>080201</t>
  </si>
  <si>
    <t>Pubblica illuminazione</t>
  </si>
  <si>
    <t>110201</t>
  </si>
  <si>
    <t>Mercato coperto</t>
  </si>
  <si>
    <t>110301</t>
  </si>
  <si>
    <t>Mattatoio comunale</t>
  </si>
  <si>
    <t>110601</t>
  </si>
  <si>
    <t>P.I.P. Comunale</t>
  </si>
  <si>
    <t>080101</t>
  </si>
  <si>
    <t>Viabilità</t>
  </si>
  <si>
    <t>010701</t>
  </si>
  <si>
    <t>Servizi Demografici</t>
  </si>
  <si>
    <t>030101</t>
  </si>
  <si>
    <t>Polizia Urbana</t>
  </si>
  <si>
    <t>030301</t>
  </si>
  <si>
    <t>Polizia Amministrativa</t>
  </si>
  <si>
    <t>010201</t>
  </si>
  <si>
    <t>Segreteria Generale</t>
  </si>
  <si>
    <t>010202</t>
  </si>
  <si>
    <t>Ufficio Personale</t>
  </si>
  <si>
    <t>010601</t>
  </si>
  <si>
    <t>Ufficio Tecnico</t>
  </si>
  <si>
    <t>010301</t>
  </si>
  <si>
    <t>Ufficio Ragioneria</t>
  </si>
  <si>
    <t>010302</t>
  </si>
  <si>
    <t>Ufficio Economato</t>
  </si>
  <si>
    <t>010501</t>
  </si>
  <si>
    <t>Ufficio Patrimonio</t>
  </si>
  <si>
    <t>010401</t>
  </si>
  <si>
    <t>Ufficio Tributi</t>
  </si>
  <si>
    <t>050101</t>
  </si>
  <si>
    <t>Biblioteca comunale</t>
  </si>
  <si>
    <t>100401</t>
  </si>
  <si>
    <t>Servizi diversi alla persona</t>
  </si>
  <si>
    <t>040401</t>
  </si>
  <si>
    <t>Scuole medie superiori</t>
  </si>
  <si>
    <t>100102</t>
  </si>
  <si>
    <t>Servizi per l'infanzia ed i minori</t>
  </si>
  <si>
    <t>100201</t>
  </si>
  <si>
    <t>010802</t>
  </si>
  <si>
    <t>Sede uffici comunali:Uscieri</t>
  </si>
  <si>
    <t>010803</t>
  </si>
  <si>
    <t>Sede uffici comunali:Archivio e protocollo</t>
  </si>
  <si>
    <t>110101</t>
  </si>
  <si>
    <t>010804</t>
  </si>
  <si>
    <t>Servizi plurifunzioni</t>
  </si>
  <si>
    <t>020101</t>
  </si>
  <si>
    <t>Ufficio conciliazione</t>
  </si>
  <si>
    <t>090101</t>
  </si>
  <si>
    <t>Urbanistica/Ambiente</t>
  </si>
  <si>
    <t>120601</t>
  </si>
  <si>
    <t>Attività Produttive</t>
  </si>
  <si>
    <t>SERVIZI GENERALI</t>
  </si>
  <si>
    <t>SERVIZIO TRIBUTI</t>
  </si>
  <si>
    <t>POLIZIA LOCALE</t>
  </si>
  <si>
    <t>BIBLIOTECHE</t>
  </si>
  <si>
    <t>MERCATI PUBBLICI</t>
  </si>
  <si>
    <t>3B</t>
  </si>
  <si>
    <t>LAVORI PUBBLICI</t>
  </si>
  <si>
    <t>SERVIZIO ANAG.ST.CIV</t>
  </si>
  <si>
    <t>ATTIVITA' PRODUTTIVE</t>
  </si>
  <si>
    <t>ASSISTENZA SCOLASTIC</t>
  </si>
  <si>
    <t>ASILO NIDO</t>
  </si>
  <si>
    <t>ASSISTENZA E BENEF/</t>
  </si>
  <si>
    <t>B5</t>
  </si>
  <si>
    <t>SERV.INFANZIA/MINORI</t>
  </si>
  <si>
    <t>PROTOCOLLO/USCIERI</t>
  </si>
  <si>
    <t>RAGIONERIA</t>
  </si>
  <si>
    <t>PREVENZ./RIABILITAZ.</t>
  </si>
  <si>
    <t>SERVIZI ALLA PERSONA</t>
  </si>
  <si>
    <t>A1</t>
  </si>
  <si>
    <t>A2</t>
  </si>
  <si>
    <t>C2</t>
  </si>
  <si>
    <t>D2</t>
  </si>
  <si>
    <t>UFFICIO PERSONALE</t>
  </si>
  <si>
    <t>1C</t>
  </si>
  <si>
    <t>D5</t>
  </si>
  <si>
    <t>A5</t>
  </si>
  <si>
    <t>B6</t>
  </si>
  <si>
    <t>B7</t>
  </si>
  <si>
    <t>7B</t>
  </si>
  <si>
    <t>C5</t>
  </si>
  <si>
    <t>D6</t>
  </si>
  <si>
    <t>6D</t>
  </si>
  <si>
    <t>2C</t>
  </si>
  <si>
    <t>URBANISTICA</t>
  </si>
  <si>
    <t>SEGRETARIO GENERALE</t>
  </si>
  <si>
    <t>4C</t>
  </si>
  <si>
    <t>CAPITOLO</t>
  </si>
  <si>
    <t>DESCRIZIONE</t>
  </si>
  <si>
    <t>Capitolo di bilancio</t>
  </si>
  <si>
    <t>Posizione del dipendente</t>
  </si>
  <si>
    <t>R/ FR</t>
  </si>
  <si>
    <t>Qualifica</t>
  </si>
  <si>
    <t>SEGRETARIO GEN.</t>
  </si>
  <si>
    <t>ISTRUTTORE</t>
  </si>
  <si>
    <t>COLLABORATORE</t>
  </si>
  <si>
    <t>FUNZIONARIO</t>
  </si>
  <si>
    <t xml:space="preserve">OPERATORE      </t>
  </si>
  <si>
    <t xml:space="preserve">ESECUTORE      </t>
  </si>
  <si>
    <t xml:space="preserve">ISTRUTTORE     </t>
  </si>
  <si>
    <t xml:space="preserve">ISTRUTT.DIR.VO </t>
  </si>
  <si>
    <t>RETRIB. DI CATEGORIA</t>
  </si>
  <si>
    <t>QUALI FICA</t>
  </si>
  <si>
    <t>INDENN. ANNUA FISSA</t>
  </si>
  <si>
    <t>IIS SEGRET. E DIFF. IIS</t>
  </si>
  <si>
    <t>TREDIC. IIS</t>
  </si>
  <si>
    <t>%INAIL</t>
  </si>
  <si>
    <t>INDENN. VARIE</t>
  </si>
  <si>
    <t>Tredicesima mensilità</t>
  </si>
  <si>
    <t>Aggiunta di famiglia</t>
  </si>
  <si>
    <t>Indenn. di posizione</t>
  </si>
  <si>
    <t>Totale 8</t>
  </si>
  <si>
    <t>Totale 10</t>
  </si>
  <si>
    <t>Totale 14</t>
  </si>
  <si>
    <t>Totale 55</t>
  </si>
  <si>
    <t>Totale 60</t>
  </si>
  <si>
    <t>Totale 70</t>
  </si>
  <si>
    <t>Totale 80</t>
  </si>
  <si>
    <t>Totale 120</t>
  </si>
  <si>
    <t>Totale 160</t>
  </si>
  <si>
    <t>Totale 250</t>
  </si>
  <si>
    <t>Totale 280</t>
  </si>
  <si>
    <t>Totale 340</t>
  </si>
  <si>
    <t>Totale 470</t>
  </si>
  <si>
    <t>Totale 492</t>
  </si>
  <si>
    <t>Totale 560</t>
  </si>
  <si>
    <t>Totale 610</t>
  </si>
  <si>
    <t>Totale 637</t>
  </si>
  <si>
    <t>Totale complessivo</t>
  </si>
  <si>
    <t>C.COSTO</t>
  </si>
  <si>
    <t>Funzione</t>
  </si>
  <si>
    <t>Servizio</t>
  </si>
  <si>
    <t>C. Costo</t>
  </si>
  <si>
    <t>IND COMP. 2002</t>
  </si>
  <si>
    <t>IND. COMP. 2003-2004</t>
  </si>
  <si>
    <t>CODICE</t>
  </si>
  <si>
    <t>C6</t>
  </si>
  <si>
    <t>C7</t>
  </si>
  <si>
    <t>C8</t>
  </si>
  <si>
    <t>C9</t>
  </si>
  <si>
    <t>C10</t>
  </si>
  <si>
    <t>C11</t>
  </si>
  <si>
    <t>C12</t>
  </si>
  <si>
    <t>C13</t>
  </si>
  <si>
    <t>Retribuz. di categoria</t>
  </si>
  <si>
    <t>R.I.A.</t>
  </si>
  <si>
    <t>Importo</t>
  </si>
  <si>
    <t>TOTALE COMPLESS. LORDO</t>
  </si>
  <si>
    <t>cp</t>
  </si>
  <si>
    <t>CPDEL</t>
  </si>
  <si>
    <t>INADEL</t>
  </si>
  <si>
    <t>INAIL</t>
  </si>
  <si>
    <t>IRAP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</si>
  <si>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</si>
  <si>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</si>
  <si>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</si>
  <si>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</si>
  <si>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</si>
  <si>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</si>
  <si>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</si>
  <si>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</si>
  <si>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</si>
  <si>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IMPONIBILI</t>
  </si>
  <si>
    <t>CONTRIBUTI</t>
  </si>
  <si>
    <t>TOTALE</t>
  </si>
  <si>
    <t>DESCRIZIONE CAPITOLO</t>
  </si>
  <si>
    <t>Capitolo bilancio</t>
  </si>
  <si>
    <t>TOT-AF</t>
  </si>
  <si>
    <t>IMPONIB. INADEL</t>
  </si>
  <si>
    <t>C14</t>
  </si>
  <si>
    <t>Indennità Vigilanza</t>
  </si>
  <si>
    <t>Diff. Retribut. e di IIS</t>
  </si>
  <si>
    <t>[C5] : 12</t>
  </si>
  <si>
    <t>[C1+C2+C3+C4] : 12</t>
  </si>
  <si>
    <t>Ind.Prof. nido ex art.6
(*)</t>
  </si>
  <si>
    <t>Indennità comparto 2002</t>
  </si>
  <si>
    <t>Indennità comparto 2003-2004
(*)</t>
  </si>
  <si>
    <t>Indenn. Art. 4 e ind. Prof. Nido</t>
  </si>
  <si>
    <t>(*)</t>
  </si>
  <si>
    <t>C15</t>
  </si>
  <si>
    <t>MARTALO' VITTORIO</t>
  </si>
  <si>
    <t>FILONI FABIO</t>
  </si>
  <si>
    <t>BOLOGNESE MAURO S.</t>
  </si>
  <si>
    <t>MAGGIORE ANTONELLA</t>
  </si>
  <si>
    <t>MIGLIACCIO LUCA</t>
  </si>
  <si>
    <t>RIZZELLO LUCIA</t>
  </si>
  <si>
    <t>3DP</t>
  </si>
  <si>
    <t>IND. DI DIREZIONE GENERALE</t>
  </si>
  <si>
    <t>RETRIB.PERS.STRAORD.</t>
  </si>
  <si>
    <t>SI MODIFICANO AUTOMATICAMENTE</t>
  </si>
  <si>
    <t>Totale dipendenti tempo indeterminato</t>
  </si>
  <si>
    <t>SALARIO ACCESSORIO</t>
  </si>
  <si>
    <t>Totale</t>
  </si>
  <si>
    <t>IND. DI  RISULTATO P.O.</t>
  </si>
  <si>
    <t>17/0</t>
  </si>
  <si>
    <t>CONTRIBUTI PERIODI PREGRESSI</t>
  </si>
  <si>
    <t>CONTRIB. PERIODI PREGR.</t>
  </si>
  <si>
    <t>LAVORO STRAORDINARIO</t>
  </si>
  <si>
    <t>EQUO INDENNIZZO</t>
  </si>
  <si>
    <t>ALTRE SPESE (VESTIARIO ECC.)</t>
  </si>
  <si>
    <t>SALARIO ACCESSORIO **</t>
  </si>
  <si>
    <t xml:space="preserve">(**)  </t>
  </si>
  <si>
    <t>non comprende gli importi di C11 e C13 finanziati dal fondo del salario accessorio</t>
  </si>
  <si>
    <t>LUPERTO GIUSEPPE</t>
  </si>
  <si>
    <t>3DF</t>
  </si>
  <si>
    <t>PAPA ANGELA</t>
  </si>
  <si>
    <t>IMBRIANI SALVATORE</t>
  </si>
  <si>
    <t>XXXXXXXXX</t>
  </si>
  <si>
    <t>COLAZZO SALVATORE</t>
  </si>
  <si>
    <t>GATTO ILARIA</t>
  </si>
  <si>
    <t>RADOGNA ANGELO</t>
  </si>
  <si>
    <t>Assegno ad personam + magg. 25% Conv. Segr.</t>
  </si>
  <si>
    <t>Indennità Vacanza Contrattuale</t>
  </si>
  <si>
    <t>Indennità Vac. Contrattuale</t>
  </si>
  <si>
    <t>IND. DI RISULTATO P.O. + SEGRETAR.</t>
  </si>
  <si>
    <t>FR</t>
  </si>
  <si>
    <t>Totale 711</t>
  </si>
  <si>
    <t>MIGLIETTA CHIARA</t>
  </si>
  <si>
    <t>1D</t>
  </si>
  <si>
    <t>1D BIS</t>
  </si>
  <si>
    <t xml:space="preserve">ISTRUTTORE (4 mesi)    </t>
  </si>
  <si>
    <t>C4 M4</t>
  </si>
  <si>
    <t>C4 M1</t>
  </si>
  <si>
    <t xml:space="preserve">ISTRUTTORE (1 mese)    </t>
  </si>
  <si>
    <t>ZACCHINO ELENA</t>
  </si>
  <si>
    <t>VESTIARIO VIGILI</t>
  </si>
  <si>
    <t>PROGETTO P.M. COD.STR.</t>
  </si>
  <si>
    <t>DIRITTI ROGITO SEGRET.</t>
  </si>
  <si>
    <t>TRASFERIMENTI UFF. UMA</t>
  </si>
  <si>
    <t>VERONA ALESSANDRO</t>
  </si>
  <si>
    <t>TIROCINI FORMATIVI</t>
  </si>
  <si>
    <t xml:space="preserve"> 12,282,00</t>
  </si>
  <si>
    <t>Importo Riga 104 C11 e Riga 134 C13 son finanziati dal fondo Salario accessorio (aggiuntivi alle somme previste sul cap. 713 - Riga 116)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</si>
</sst>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#,##0.00;[Red]#,##0.00"/>
    <numFmt numFmtId="166" formatCode="0;[Red]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43" applyFont="1" applyAlignment="1">
      <alignment/>
    </xf>
    <xf numFmtId="0" fontId="3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43" fontId="2" fillId="0" borderId="10" xfId="43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" fontId="3" fillId="33" borderId="10" xfId="0" applyNumberFormat="1" applyFont="1" applyFill="1" applyBorder="1" applyAlignment="1">
      <alignment horizontal="center" vertical="center" wrapText="1"/>
    </xf>
    <xf numFmtId="43" fontId="3" fillId="33" borderId="10" xfId="43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" fontId="2" fillId="33" borderId="0" xfId="0" applyNumberFormat="1" applyFont="1" applyFill="1" applyAlignment="1">
      <alignment/>
    </xf>
    <xf numFmtId="43" fontId="2" fillId="34" borderId="10" xfId="43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textRotation="90" wrapText="1"/>
    </xf>
    <xf numFmtId="1" fontId="4" fillId="0" borderId="12" xfId="0" applyNumberFormat="1" applyFont="1" applyBorder="1" applyAlignment="1">
      <alignment horizontal="center" vertical="center" textRotation="90" wrapText="1"/>
    </xf>
    <xf numFmtId="1" fontId="4" fillId="0" borderId="13" xfId="0" applyNumberFormat="1" applyFont="1" applyBorder="1" applyAlignment="1">
      <alignment horizontal="center" vertical="center" textRotation="90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43" fontId="4" fillId="0" borderId="10" xfId="43" applyFont="1" applyFill="1" applyBorder="1" applyAlignment="1">
      <alignment horizontal="center" vertical="center" wrapText="1"/>
    </xf>
    <xf numFmtId="43" fontId="4" fillId="0" borderId="10" xfId="43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1" fontId="2" fillId="34" borderId="14" xfId="0" applyNumberFormat="1" applyFont="1" applyFill="1" applyBorder="1" applyAlignment="1">
      <alignment horizontal="center" vertical="center"/>
    </xf>
    <xf numFmtId="1" fontId="2" fillId="34" borderId="17" xfId="0" applyNumberFormat="1" applyFont="1" applyFill="1" applyBorder="1" applyAlignment="1">
      <alignment horizontal="center" vertical="center"/>
    </xf>
    <xf numFmtId="1" fontId="2" fillId="34" borderId="15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" fontId="2" fillId="0" borderId="10" xfId="0" applyNumberFormat="1" applyFont="1" applyBorder="1" applyAlignment="1" applyProtection="1">
      <alignment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43" fontId="2" fillId="0" borderId="10" xfId="43" applyFont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>
      <alignment vertical="center"/>
    </xf>
    <xf numFmtId="43" fontId="3" fillId="0" borderId="0" xfId="43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3" fontId="3" fillId="0" borderId="10" xfId="43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textRotation="90"/>
    </xf>
    <xf numFmtId="0" fontId="3" fillId="34" borderId="12" xfId="0" applyFont="1" applyFill="1" applyBorder="1" applyAlignment="1">
      <alignment horizontal="center" vertical="center" textRotation="90"/>
    </xf>
    <xf numFmtId="0" fontId="3" fillId="34" borderId="13" xfId="0" applyFont="1" applyFill="1" applyBorder="1" applyAlignment="1">
      <alignment horizontal="center" vertical="center" textRotation="90"/>
    </xf>
    <xf numFmtId="10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43" fontId="2" fillId="0" borderId="0" xfId="43" applyFont="1" applyAlignment="1">
      <alignment vertical="center"/>
    </xf>
    <xf numFmtId="43" fontId="2" fillId="0" borderId="10" xfId="0" applyNumberFormat="1" applyFont="1" applyBorder="1" applyAlignment="1">
      <alignment vertical="center"/>
    </xf>
    <xf numFmtId="1" fontId="3" fillId="35" borderId="17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 applyProtection="1">
      <alignment vertical="center"/>
      <protection locked="0"/>
    </xf>
    <xf numFmtId="1" fontId="3" fillId="35" borderId="10" xfId="0" applyNumberFormat="1" applyFont="1" applyFill="1" applyBorder="1" applyAlignment="1" applyProtection="1">
      <alignment horizontal="center" vertical="center"/>
      <protection locked="0"/>
    </xf>
    <xf numFmtId="1" fontId="3" fillId="35" borderId="14" xfId="0" applyNumberFormat="1" applyFont="1" applyFill="1" applyBorder="1" applyAlignment="1">
      <alignment horizontal="center" vertical="center"/>
    </xf>
    <xf numFmtId="1" fontId="3" fillId="35" borderId="15" xfId="0" applyNumberFormat="1" applyFont="1" applyFill="1" applyBorder="1" applyAlignment="1">
      <alignment horizontal="center" vertical="center"/>
    </xf>
    <xf numFmtId="1" fontId="3" fillId="35" borderId="14" xfId="0" applyNumberFormat="1" applyFont="1" applyFill="1" applyBorder="1" applyAlignment="1" applyProtection="1">
      <alignment horizontal="center" vertical="center"/>
      <protection locked="0"/>
    </xf>
    <xf numFmtId="1" fontId="3" fillId="35" borderId="10" xfId="0" applyNumberFormat="1" applyFont="1" applyFill="1" applyBorder="1" applyAlignment="1">
      <alignment vertical="center"/>
    </xf>
    <xf numFmtId="43" fontId="3" fillId="35" borderId="10" xfId="43" applyFont="1" applyFill="1" applyBorder="1" applyAlignment="1">
      <alignment vertical="center"/>
    </xf>
    <xf numFmtId="43" fontId="3" fillId="35" borderId="10" xfId="43" applyFont="1" applyFill="1" applyBorder="1" applyAlignment="1" applyProtection="1">
      <alignment vertical="center"/>
      <protection locked="0"/>
    </xf>
    <xf numFmtId="43" fontId="3" fillId="35" borderId="10" xfId="0" applyNumberFormat="1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1" fontId="3" fillId="35" borderId="10" xfId="0" applyNumberFormat="1" applyFont="1" applyFill="1" applyBorder="1" applyAlignment="1">
      <alignment horizontal="center" vertical="center"/>
    </xf>
    <xf numFmtId="1" fontId="3" fillId="35" borderId="14" xfId="0" applyNumberFormat="1" applyFont="1" applyFill="1" applyBorder="1" applyAlignment="1">
      <alignment vertical="center"/>
    </xf>
    <xf numFmtId="43" fontId="2" fillId="0" borderId="0" xfId="0" applyNumberFormat="1" applyFont="1" applyAlignment="1">
      <alignment/>
    </xf>
    <xf numFmtId="164" fontId="3" fillId="0" borderId="15" xfId="0" applyNumberFormat="1" applyFont="1" applyBorder="1" applyAlignment="1">
      <alignment horizontal="center" vertical="center" wrapText="1"/>
    </xf>
    <xf numFmtId="43" fontId="2" fillId="0" borderId="10" xfId="43" applyFont="1" applyFill="1" applyBorder="1" applyAlignment="1">
      <alignment vertical="center"/>
    </xf>
    <xf numFmtId="1" fontId="5" fillId="0" borderId="0" xfId="0" applyNumberFormat="1" applyFont="1" applyAlignment="1">
      <alignment/>
    </xf>
    <xf numFmtId="1" fontId="2" fillId="36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/>
    </xf>
    <xf numFmtId="43" fontId="2" fillId="36" borderId="10" xfId="43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vertical="center"/>
    </xf>
    <xf numFmtId="43" fontId="3" fillId="33" borderId="10" xfId="43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3" fontId="3" fillId="0" borderId="10" xfId="43" applyFont="1" applyFill="1" applyBorder="1" applyAlignment="1">
      <alignment vertical="center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43" fontId="2" fillId="0" borderId="0" xfId="43" applyFont="1" applyFill="1" applyAlignment="1">
      <alignment vertical="center"/>
    </xf>
    <xf numFmtId="43" fontId="2" fillId="0" borderId="10" xfId="43" applyFont="1" applyBorder="1" applyAlignment="1" applyProtection="1">
      <alignment horizontal="right" vertical="center"/>
      <protection locked="0"/>
    </xf>
    <xf numFmtId="43" fontId="3" fillId="35" borderId="10" xfId="43" applyFont="1" applyFill="1" applyBorder="1" applyAlignment="1" applyProtection="1">
      <alignment horizontal="right" vertical="center"/>
      <protection locked="0"/>
    </xf>
    <xf numFmtId="165" fontId="2" fillId="0" borderId="10" xfId="43" applyNumberFormat="1" applyFont="1" applyBorder="1" applyAlignment="1" applyProtection="1">
      <alignment horizontal="right" vertical="center"/>
      <protection locked="0"/>
    </xf>
    <xf numFmtId="165" fontId="3" fillId="35" borderId="10" xfId="43" applyNumberFormat="1" applyFont="1" applyFill="1" applyBorder="1" applyAlignment="1" applyProtection="1">
      <alignment horizontal="right" vertical="center"/>
      <protection locked="0"/>
    </xf>
    <xf numFmtId="165" fontId="3" fillId="35" borderId="10" xfId="43" applyNumberFormat="1" applyFont="1" applyFill="1" applyBorder="1" applyAlignment="1">
      <alignment horizontal="right" vertical="center"/>
    </xf>
    <xf numFmtId="165" fontId="3" fillId="0" borderId="0" xfId="43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3" fontId="3" fillId="0" borderId="10" xfId="43" applyNumberFormat="1" applyFont="1" applyBorder="1" applyAlignment="1">
      <alignment/>
    </xf>
    <xf numFmtId="43" fontId="6" fillId="0" borderId="0" xfId="43" applyFont="1" applyAlignment="1">
      <alignment/>
    </xf>
    <xf numFmtId="43" fontId="2" fillId="34" borderId="10" xfId="43" applyFont="1" applyFill="1" applyBorder="1" applyAlignment="1">
      <alignment horizontal="right" vertical="center"/>
    </xf>
    <xf numFmtId="44" fontId="2" fillId="0" borderId="10" xfId="43" applyNumberFormat="1" applyFont="1" applyBorder="1" applyAlignment="1">
      <alignment horizontal="right"/>
    </xf>
    <xf numFmtId="0" fontId="2" fillId="36" borderId="0" xfId="0" applyFont="1" applyFill="1" applyAlignment="1">
      <alignment/>
    </xf>
    <xf numFmtId="43" fontId="7" fillId="33" borderId="10" xfId="43" applyFont="1" applyFill="1" applyBorder="1" applyAlignment="1">
      <alignment vertical="center"/>
    </xf>
    <xf numFmtId="43" fontId="3" fillId="35" borderId="10" xfId="43" applyFont="1" applyFill="1" applyBorder="1" applyAlignment="1">
      <alignment horizontal="right" vertical="center"/>
    </xf>
    <xf numFmtId="1" fontId="3" fillId="0" borderId="10" xfId="0" applyNumberFormat="1" applyFont="1" applyBorder="1" applyAlignment="1">
      <alignment horizontal="center" vertical="center" wrapText="1"/>
    </xf>
    <xf numFmtId="43" fontId="3" fillId="0" borderId="10" xfId="43" applyFont="1" applyFill="1" applyBorder="1" applyAlignment="1">
      <alignment horizontal="center" vertical="center" wrapText="1"/>
    </xf>
    <xf numFmtId="43" fontId="3" fillId="0" borderId="10" xfId="43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textRotation="90" wrapText="1"/>
    </xf>
    <xf numFmtId="1" fontId="3" fillId="0" borderId="18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35" borderId="14" xfId="0" applyNumberFormat="1" applyFont="1" applyFill="1" applyBorder="1" applyAlignment="1" applyProtection="1">
      <alignment horizontal="center" vertical="center"/>
      <protection locked="0"/>
    </xf>
    <xf numFmtId="1" fontId="3" fillId="35" borderId="17" xfId="0" applyNumberFormat="1" applyFont="1" applyFill="1" applyBorder="1" applyAlignment="1" applyProtection="1">
      <alignment horizontal="center" vertical="center"/>
      <protection locked="0"/>
    </xf>
    <xf numFmtId="1" fontId="3" fillId="35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textRotation="90" wrapText="1"/>
    </xf>
    <xf numFmtId="1" fontId="3" fillId="0" borderId="18" xfId="0" applyNumberFormat="1" applyFont="1" applyFill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2"/>
  <sheetViews>
    <sheetView workbookViewId="0" topLeftCell="A95">
      <selection activeCell="T116" sqref="T116"/>
    </sheetView>
  </sheetViews>
  <sheetFormatPr defaultColWidth="9.140625" defaultRowHeight="12.75" outlineLevelRow="2"/>
  <cols>
    <col min="1" max="1" width="3.00390625" style="1" bestFit="1" customWidth="1"/>
    <col min="2" max="2" width="20.00390625" style="1" customWidth="1"/>
    <col min="3" max="3" width="5.00390625" style="4" customWidth="1"/>
    <col min="4" max="6" width="3.00390625" style="4" hidden="1" customWidth="1"/>
    <col min="7" max="7" width="2.8515625" style="4" customWidth="1"/>
    <col min="8" max="8" width="4.421875" style="4" customWidth="1"/>
    <col min="9" max="9" width="14.28125" style="1" bestFit="1" customWidth="1"/>
    <col min="10" max="11" width="11.28125" style="8" bestFit="1" customWidth="1"/>
    <col min="12" max="13" width="9.28125" style="8" customWidth="1"/>
    <col min="14" max="14" width="8.28125" style="8" customWidth="1"/>
    <col min="15" max="15" width="10.00390625" style="8" customWidth="1"/>
    <col min="16" max="16" width="8.140625" style="8" customWidth="1"/>
    <col min="17" max="17" width="10.00390625" style="8" customWidth="1"/>
    <col min="18" max="19" width="9.28125" style="8" customWidth="1"/>
    <col min="20" max="20" width="9.7109375" style="8" customWidth="1"/>
    <col min="21" max="21" width="9.28125" style="2" bestFit="1" customWidth="1"/>
    <col min="22" max="22" width="9.140625" style="2" customWidth="1"/>
    <col min="23" max="23" width="9.7109375" style="2" customWidth="1"/>
    <col min="24" max="24" width="11.7109375" style="6" customWidth="1"/>
    <col min="25" max="26" width="11.421875" style="2" customWidth="1"/>
    <col min="27" max="16384" width="9.140625" style="2" customWidth="1"/>
  </cols>
  <sheetData>
    <row r="1" spans="1:24" s="3" customFormat="1" ht="23.25" customHeight="1">
      <c r="A1" s="115" t="s">
        <v>90</v>
      </c>
      <c r="B1" s="115" t="s">
        <v>89</v>
      </c>
      <c r="C1" s="119" t="s">
        <v>342</v>
      </c>
      <c r="D1" s="119" t="s">
        <v>383</v>
      </c>
      <c r="E1" s="119" t="s">
        <v>384</v>
      </c>
      <c r="F1" s="119" t="s">
        <v>385</v>
      </c>
      <c r="G1" s="121" t="s">
        <v>343</v>
      </c>
      <c r="H1" s="121"/>
      <c r="I1" s="121"/>
      <c r="J1" s="116" t="s">
        <v>397</v>
      </c>
      <c r="K1" s="117" t="s">
        <v>464</v>
      </c>
      <c r="L1" s="118" t="s">
        <v>398</v>
      </c>
      <c r="M1" s="118" t="s">
        <v>363</v>
      </c>
      <c r="N1" s="123" t="s">
        <v>424</v>
      </c>
      <c r="O1" s="123" t="s">
        <v>361</v>
      </c>
      <c r="P1" s="123"/>
      <c r="Q1" s="88" t="s">
        <v>362</v>
      </c>
      <c r="R1" s="123" t="s">
        <v>430</v>
      </c>
      <c r="S1" s="118" t="s">
        <v>423</v>
      </c>
      <c r="T1" s="118" t="s">
        <v>427</v>
      </c>
      <c r="U1" s="122" t="s">
        <v>428</v>
      </c>
      <c r="V1" s="122" t="s">
        <v>429</v>
      </c>
      <c r="W1" s="125" t="s">
        <v>465</v>
      </c>
      <c r="X1" s="122" t="s">
        <v>400</v>
      </c>
    </row>
    <row r="2" spans="1:27" s="3" customFormat="1" ht="42.75" customHeight="1">
      <c r="A2" s="115"/>
      <c r="B2" s="115"/>
      <c r="C2" s="120"/>
      <c r="D2" s="120"/>
      <c r="E2" s="120"/>
      <c r="F2" s="120"/>
      <c r="G2" s="42" t="s">
        <v>344</v>
      </c>
      <c r="H2" s="121" t="s">
        <v>345</v>
      </c>
      <c r="I2" s="121"/>
      <c r="J2" s="116"/>
      <c r="K2" s="117"/>
      <c r="L2" s="118"/>
      <c r="M2" s="127"/>
      <c r="N2" s="123"/>
      <c r="O2" s="40" t="s">
        <v>426</v>
      </c>
      <c r="P2" s="40" t="s">
        <v>425</v>
      </c>
      <c r="Q2" s="41" t="s">
        <v>399</v>
      </c>
      <c r="R2" s="124"/>
      <c r="S2" s="118"/>
      <c r="T2" s="118"/>
      <c r="U2" s="122"/>
      <c r="V2" s="122"/>
      <c r="W2" s="126"/>
      <c r="X2" s="122"/>
      <c r="Y2" s="3" t="s">
        <v>420</v>
      </c>
      <c r="Z2" s="3" t="s">
        <v>421</v>
      </c>
      <c r="AA2" s="3" t="s">
        <v>359</v>
      </c>
    </row>
    <row r="3" spans="1:24" s="3" customFormat="1" ht="13.5" customHeight="1">
      <c r="A3" s="26"/>
      <c r="B3" s="26"/>
      <c r="C3" s="26" t="s">
        <v>401</v>
      </c>
      <c r="D3" s="27"/>
      <c r="E3" s="28"/>
      <c r="F3" s="29"/>
      <c r="G3" s="30"/>
      <c r="H3" s="31"/>
      <c r="I3" s="32"/>
      <c r="J3" s="33" t="s">
        <v>27</v>
      </c>
      <c r="K3" s="34" t="s">
        <v>324</v>
      </c>
      <c r="L3" s="35" t="s">
        <v>23</v>
      </c>
      <c r="M3" s="37" t="s">
        <v>28</v>
      </c>
      <c r="N3" s="36" t="s">
        <v>333</v>
      </c>
      <c r="O3" s="36" t="s">
        <v>389</v>
      </c>
      <c r="P3" s="36" t="s">
        <v>390</v>
      </c>
      <c r="Q3" s="37" t="s">
        <v>391</v>
      </c>
      <c r="R3" s="38" t="s">
        <v>392</v>
      </c>
      <c r="S3" s="35" t="s">
        <v>393</v>
      </c>
      <c r="T3" s="35" t="s">
        <v>394</v>
      </c>
      <c r="U3" s="39" t="s">
        <v>395</v>
      </c>
      <c r="V3" s="39" t="s">
        <v>396</v>
      </c>
      <c r="W3" s="39" t="s">
        <v>432</v>
      </c>
      <c r="X3" s="39" t="s">
        <v>422</v>
      </c>
    </row>
    <row r="4" spans="1:28" s="15" customFormat="1" ht="15" customHeight="1" outlineLevel="2">
      <c r="A4" s="48">
        <v>1</v>
      </c>
      <c r="B4" s="48" t="s">
        <v>463</v>
      </c>
      <c r="C4" s="49">
        <v>8</v>
      </c>
      <c r="D4" s="43">
        <f>VLOOKUP($C4,CAPITOLI!$A:$E,3)</f>
        <v>1</v>
      </c>
      <c r="E4" s="44">
        <f>VLOOKUP($C4,CAPITOLI!$A:$E,4)</f>
        <v>2</v>
      </c>
      <c r="F4" s="45">
        <f>VLOOKUP($C4,CAPITOLI!$A:$E,5)</f>
        <v>1</v>
      </c>
      <c r="G4" s="49" t="s">
        <v>2</v>
      </c>
      <c r="H4" s="50" t="s">
        <v>83</v>
      </c>
      <c r="I4" s="46" t="str">
        <f>VLOOKUP(H4,QUALIFICHE!A:B,2,TRUE)</f>
        <v>SEGRETARIO GEN.</v>
      </c>
      <c r="J4" s="25">
        <v>11993.79</v>
      </c>
      <c r="K4" s="51">
        <v>6301.15</v>
      </c>
      <c r="L4" s="51">
        <v>304.55</v>
      </c>
      <c r="M4" s="51">
        <v>10773.66</v>
      </c>
      <c r="N4" s="25">
        <f>VLOOKUP($H4,QUALIFICHE!$A:$J,5)</f>
        <v>0</v>
      </c>
      <c r="O4" s="25">
        <f>ROUND((J4+K4+L4+M4)/12,2)</f>
        <v>2447.76</v>
      </c>
      <c r="P4" s="25">
        <f>N4/12</f>
        <v>0</v>
      </c>
      <c r="Q4" s="101">
        <v>0</v>
      </c>
      <c r="R4" s="25">
        <f>VLOOKUP($H4,QUALIFICHE!$A:$J,8)</f>
        <v>0</v>
      </c>
      <c r="S4" s="51">
        <v>0</v>
      </c>
      <c r="T4" s="51">
        <v>0</v>
      </c>
      <c r="U4" s="25">
        <f>VLOOKUP($H4,QUALIFICHE!$A:$J,9)</f>
        <v>0</v>
      </c>
      <c r="V4" s="25">
        <f>VLOOKUP($H4,QUALIFICHE!$A:$J,10)</f>
        <v>0</v>
      </c>
      <c r="W4" s="25">
        <f>VLOOKUP($H4,QUALIFICHE!$A:$K,11)</f>
        <v>72.58</v>
      </c>
      <c r="X4" s="73">
        <f>J4+K4+L4+N4+O4+P4+Q4+M4+R4+S4+T4+U4+V4+W4</f>
        <v>31893.49</v>
      </c>
      <c r="Y4" s="71">
        <f aca="true" t="shared" si="0" ref="Y4:Y28">X4-Q4</f>
        <v>31893.49</v>
      </c>
      <c r="Z4" s="71">
        <f>Y4-U4-V4-T4</f>
        <v>31893.49</v>
      </c>
      <c r="AA4" s="25">
        <f>VLOOKUP($H4,QUALIFICHE!$A:$J,7)</f>
        <v>0.4</v>
      </c>
      <c r="AB4" s="72">
        <f>Y4*AA4/100</f>
        <v>127.57396</v>
      </c>
    </row>
    <row r="5" spans="1:28" s="84" customFormat="1" ht="15" customHeight="1" outlineLevel="1">
      <c r="A5" s="75"/>
      <c r="B5" s="75"/>
      <c r="C5" s="76" t="s">
        <v>364</v>
      </c>
      <c r="D5" s="77"/>
      <c r="E5" s="74"/>
      <c r="F5" s="78"/>
      <c r="G5" s="76"/>
      <c r="H5" s="79"/>
      <c r="I5" s="80"/>
      <c r="J5" s="81">
        <f aca="true" t="shared" si="1" ref="J5:P5">SUBTOTAL(9,J4:J4)</f>
        <v>11993.79</v>
      </c>
      <c r="K5" s="82">
        <f t="shared" si="1"/>
        <v>6301.15</v>
      </c>
      <c r="L5" s="82">
        <f t="shared" si="1"/>
        <v>304.55</v>
      </c>
      <c r="M5" s="82">
        <f>SUBTOTAL(9,M4:M4)</f>
        <v>10773.66</v>
      </c>
      <c r="N5" s="81">
        <f t="shared" si="1"/>
        <v>0</v>
      </c>
      <c r="O5" s="81">
        <f t="shared" si="1"/>
        <v>2447.76</v>
      </c>
      <c r="P5" s="81">
        <f t="shared" si="1"/>
        <v>0</v>
      </c>
      <c r="Q5" s="102">
        <f aca="true" t="shared" si="2" ref="Q5:X5">SUBTOTAL(9,Q4:Q4)</f>
        <v>0</v>
      </c>
      <c r="R5" s="81">
        <f t="shared" si="2"/>
        <v>0</v>
      </c>
      <c r="S5" s="82">
        <f t="shared" si="2"/>
        <v>0</v>
      </c>
      <c r="T5" s="82">
        <f t="shared" si="2"/>
        <v>0</v>
      </c>
      <c r="U5" s="81">
        <f t="shared" si="2"/>
        <v>0</v>
      </c>
      <c r="V5" s="81">
        <f t="shared" si="2"/>
        <v>0</v>
      </c>
      <c r="W5" s="81">
        <f t="shared" si="2"/>
        <v>72.58</v>
      </c>
      <c r="X5" s="83">
        <f t="shared" si="2"/>
        <v>31893.49</v>
      </c>
      <c r="Y5" s="83">
        <f>SUBTOTAL(9,Y4:Y4)</f>
        <v>31893.49</v>
      </c>
      <c r="Z5" s="83">
        <f>SUBTOTAL(9,Z4:Z4)</f>
        <v>31893.49</v>
      </c>
      <c r="AA5" s="81"/>
      <c r="AB5" s="83">
        <f>SUBTOTAL(9,AB4:AB4)</f>
        <v>127.57396</v>
      </c>
    </row>
    <row r="6" spans="1:28" s="15" customFormat="1" ht="15" customHeight="1" outlineLevel="2">
      <c r="A6" s="48">
        <v>1</v>
      </c>
      <c r="B6" s="48" t="s">
        <v>36</v>
      </c>
      <c r="C6" s="49">
        <v>10</v>
      </c>
      <c r="D6" s="43">
        <f>VLOOKUP($C6,CAPITOLI!$A:$E,3)</f>
        <v>1</v>
      </c>
      <c r="E6" s="44">
        <f>VLOOKUP($C6,CAPITOLI!$A:$E,4)</f>
        <v>2</v>
      </c>
      <c r="F6" s="45">
        <f>VLOOKUP($C6,CAPITOLI!$A:$E,5)</f>
        <v>1</v>
      </c>
      <c r="G6" s="49" t="s">
        <v>2</v>
      </c>
      <c r="H6" s="50" t="s">
        <v>28</v>
      </c>
      <c r="I6" s="46" t="str">
        <f>VLOOKUP(H6,QUALIFICHE!A:B,2,TRUE)</f>
        <v>ISTRUTTORE     </v>
      </c>
      <c r="J6" s="25">
        <f>VLOOKUP(H6,QUALIFICHE!A:J,3)</f>
        <v>21120.11</v>
      </c>
      <c r="K6" s="51">
        <v>0</v>
      </c>
      <c r="L6" s="51">
        <v>0</v>
      </c>
      <c r="M6" s="51">
        <v>0</v>
      </c>
      <c r="N6" s="25">
        <f>VLOOKUP($H6,QUALIFICHE!$A:$J,5)</f>
        <v>0</v>
      </c>
      <c r="O6" s="25">
        <f aca="true" t="shared" si="3" ref="O6:O11">ROUND((J6+K6+L6+M6)/12,2)</f>
        <v>1760.01</v>
      </c>
      <c r="P6" s="25">
        <f aca="true" t="shared" si="4" ref="P6:P68">N6/12</f>
        <v>0</v>
      </c>
      <c r="Q6" s="101">
        <v>0</v>
      </c>
      <c r="R6" s="25">
        <f>VLOOKUP($H6,QUALIFICHE!$A:$J,8)</f>
        <v>0</v>
      </c>
      <c r="S6" s="51">
        <v>0</v>
      </c>
      <c r="T6" s="51">
        <v>0</v>
      </c>
      <c r="U6" s="25">
        <f>VLOOKUP($H6,QUALIFICHE!$A:$J,9)</f>
        <v>52.08</v>
      </c>
      <c r="V6" s="25">
        <f>VLOOKUP($H6,QUALIFICHE!$A:$J,10)</f>
        <v>497.52</v>
      </c>
      <c r="W6" s="25">
        <f>VLOOKUP($H6,QUALIFICHE!$A:$K,11)</f>
        <v>158.4</v>
      </c>
      <c r="X6" s="73">
        <f aca="true" t="shared" si="5" ref="X6:X11">J6+K6+L6+N6+O6+P6+Q6+M6+R6+S6+T6+U6+V6+W6</f>
        <v>23588.120000000003</v>
      </c>
      <c r="Y6" s="71">
        <f t="shared" si="0"/>
        <v>23588.120000000003</v>
      </c>
      <c r="Z6" s="71">
        <f aca="true" t="shared" si="6" ref="Z6:Z11">Y6-U6-V6-T6</f>
        <v>23038.52</v>
      </c>
      <c r="AA6" s="25">
        <f>VLOOKUP($H6,QUALIFICHE!$A:$J,7)</f>
        <v>1.3</v>
      </c>
      <c r="AB6" s="72">
        <f aca="true" t="shared" si="7" ref="AB6:AB59">Y6*AA6/100</f>
        <v>306.64556000000005</v>
      </c>
    </row>
    <row r="7" spans="1:28" s="15" customFormat="1" ht="15" customHeight="1" outlineLevel="2">
      <c r="A7" s="48">
        <v>2</v>
      </c>
      <c r="B7" s="48" t="s">
        <v>21</v>
      </c>
      <c r="C7" s="49">
        <v>10</v>
      </c>
      <c r="D7" s="43">
        <f>VLOOKUP($C7,CAPITOLI!$A:$E,3)</f>
        <v>1</v>
      </c>
      <c r="E7" s="44">
        <f>VLOOKUP($C7,CAPITOLI!$A:$E,4)</f>
        <v>2</v>
      </c>
      <c r="F7" s="45">
        <f>VLOOKUP($C7,CAPITOLI!$A:$E,5)</f>
        <v>1</v>
      </c>
      <c r="G7" s="49" t="s">
        <v>2</v>
      </c>
      <c r="H7" s="50" t="s">
        <v>31</v>
      </c>
      <c r="I7" s="46" t="str">
        <f>VLOOKUP(H7,QUALIFICHE!A:B,2,TRUE)</f>
        <v>COLLABORATORE</v>
      </c>
      <c r="J7" s="25">
        <f>VLOOKUP(H7,QUALIFICHE!A:J,3)</f>
        <v>18808.79</v>
      </c>
      <c r="K7" s="51">
        <v>0</v>
      </c>
      <c r="L7" s="51">
        <v>440.68</v>
      </c>
      <c r="M7" s="51">
        <v>0</v>
      </c>
      <c r="N7" s="25">
        <v>0</v>
      </c>
      <c r="O7" s="25">
        <f t="shared" si="3"/>
        <v>1604.12</v>
      </c>
      <c r="P7" s="25">
        <f t="shared" si="4"/>
        <v>0</v>
      </c>
      <c r="Q7" s="101">
        <v>493.56</v>
      </c>
      <c r="R7" s="25">
        <f>VLOOKUP($H7,QUALIFICHE!$A:$J,8)</f>
        <v>0</v>
      </c>
      <c r="S7" s="51">
        <v>0</v>
      </c>
      <c r="T7" s="51">
        <v>0</v>
      </c>
      <c r="U7" s="25">
        <f>VLOOKUP($H7,QUALIFICHE!$A:$J,9)</f>
        <v>44.76</v>
      </c>
      <c r="V7" s="25">
        <f>VLOOKUP($H7,QUALIFICHE!$A:$J,10)</f>
        <v>426.96</v>
      </c>
      <c r="W7" s="25">
        <f>VLOOKUP($H7,QUALIFICHE!$A:$K,11)</f>
        <v>141.12</v>
      </c>
      <c r="X7" s="73">
        <f t="shared" si="5"/>
        <v>21959.989999999998</v>
      </c>
      <c r="Y7" s="71">
        <f t="shared" si="0"/>
        <v>21466.429999999997</v>
      </c>
      <c r="Z7" s="71">
        <f t="shared" si="6"/>
        <v>20994.71</v>
      </c>
      <c r="AA7" s="25">
        <f>VLOOKUP($H7,QUALIFICHE!$A:$J,7)</f>
        <v>1.9</v>
      </c>
      <c r="AB7" s="72">
        <f t="shared" si="7"/>
        <v>407.8621699999999</v>
      </c>
    </row>
    <row r="8" spans="1:28" s="15" customFormat="1" ht="15" customHeight="1" outlineLevel="2">
      <c r="A8" s="48">
        <v>3</v>
      </c>
      <c r="B8" s="48" t="s">
        <v>60</v>
      </c>
      <c r="C8" s="49">
        <v>10</v>
      </c>
      <c r="D8" s="43">
        <f>VLOOKUP($C8,CAPITOLI!$A:$E,3)</f>
        <v>1</v>
      </c>
      <c r="E8" s="44">
        <f>VLOOKUP($C8,CAPITOLI!$A:$E,4)</f>
        <v>2</v>
      </c>
      <c r="F8" s="45">
        <f>VLOOKUP($C8,CAPITOLI!$A:$E,5)</f>
        <v>1</v>
      </c>
      <c r="G8" s="49" t="s">
        <v>2</v>
      </c>
      <c r="H8" s="50" t="s">
        <v>28</v>
      </c>
      <c r="I8" s="46" t="str">
        <f>VLOOKUP(H8,QUALIFICHE!A:B,2,TRUE)</f>
        <v>ISTRUTTORE     </v>
      </c>
      <c r="J8" s="25">
        <f>VLOOKUP(H8,QUALIFICHE!A:J,3)</f>
        <v>21120.11</v>
      </c>
      <c r="K8" s="51">
        <v>0</v>
      </c>
      <c r="L8" s="51">
        <v>653.23</v>
      </c>
      <c r="M8" s="51">
        <v>0</v>
      </c>
      <c r="N8" s="25">
        <f>VLOOKUP($H8,QUALIFICHE!$A:$J,5)</f>
        <v>0</v>
      </c>
      <c r="O8" s="25">
        <f t="shared" si="3"/>
        <v>1814.45</v>
      </c>
      <c r="P8" s="25">
        <f t="shared" si="4"/>
        <v>0</v>
      </c>
      <c r="Q8" s="101">
        <v>0</v>
      </c>
      <c r="R8" s="25">
        <f>VLOOKUP($H8,QUALIFICHE!$A:$J,8)</f>
        <v>0</v>
      </c>
      <c r="S8" s="51">
        <v>0</v>
      </c>
      <c r="T8" s="51">
        <v>0</v>
      </c>
      <c r="U8" s="25">
        <f>VLOOKUP($H8,QUALIFICHE!$A:$J,9)</f>
        <v>52.08</v>
      </c>
      <c r="V8" s="25">
        <f>VLOOKUP($H8,QUALIFICHE!$A:$J,10)</f>
        <v>497.52</v>
      </c>
      <c r="W8" s="25">
        <f>VLOOKUP($H8,QUALIFICHE!$A:$K,11)</f>
        <v>158.4</v>
      </c>
      <c r="X8" s="73">
        <f t="shared" si="5"/>
        <v>24295.790000000005</v>
      </c>
      <c r="Y8" s="71">
        <f t="shared" si="0"/>
        <v>24295.790000000005</v>
      </c>
      <c r="Z8" s="71">
        <f t="shared" si="6"/>
        <v>23746.190000000002</v>
      </c>
      <c r="AA8" s="25">
        <f>VLOOKUP($H8,QUALIFICHE!$A:$J,7)</f>
        <v>1.3</v>
      </c>
      <c r="AB8" s="72">
        <f t="shared" si="7"/>
        <v>315.84527</v>
      </c>
    </row>
    <row r="9" spans="1:28" s="15" customFormat="1" ht="15" customHeight="1" outlineLevel="2">
      <c r="A9" s="48">
        <v>4</v>
      </c>
      <c r="B9" s="48" t="s">
        <v>57</v>
      </c>
      <c r="C9" s="49">
        <v>10</v>
      </c>
      <c r="D9" s="43">
        <f>VLOOKUP($C9,CAPITOLI!$A:$E,3)</f>
        <v>1</v>
      </c>
      <c r="E9" s="44">
        <f>VLOOKUP($C9,CAPITOLI!$A:$E,4)</f>
        <v>2</v>
      </c>
      <c r="F9" s="45">
        <f>VLOOKUP($C9,CAPITOLI!$A:$E,5)</f>
        <v>1</v>
      </c>
      <c r="G9" s="49" t="s">
        <v>2</v>
      </c>
      <c r="H9" s="50" t="s">
        <v>15</v>
      </c>
      <c r="I9" s="46" t="str">
        <f>VLOOKUP(H9,QUALIFICHE!A:B,2,TRUE)</f>
        <v>FUNZIONARIO</v>
      </c>
      <c r="J9" s="25">
        <f>VLOOKUP(H9,QUALIFICHE!A:J,3)</f>
        <v>26510.86</v>
      </c>
      <c r="K9" s="51">
        <v>0</v>
      </c>
      <c r="L9" s="51">
        <v>614.85</v>
      </c>
      <c r="M9" s="51">
        <v>10300</v>
      </c>
      <c r="N9" s="25">
        <f>VLOOKUP($H9,QUALIFICHE!$A:$J,5)</f>
        <v>178.8</v>
      </c>
      <c r="O9" s="25">
        <f t="shared" si="3"/>
        <v>3118.81</v>
      </c>
      <c r="P9" s="25">
        <f t="shared" si="4"/>
        <v>14.9</v>
      </c>
      <c r="Q9" s="101">
        <v>0</v>
      </c>
      <c r="R9" s="25">
        <f>VLOOKUP($H9,QUALIFICHE!$A:$J,8)</f>
        <v>0</v>
      </c>
      <c r="S9" s="51">
        <v>0</v>
      </c>
      <c r="T9" s="51">
        <v>0</v>
      </c>
      <c r="U9" s="25">
        <f>VLOOKUP($H9,QUALIFICHE!$A:$J,9)</f>
        <v>59.4</v>
      </c>
      <c r="V9" s="25">
        <f>VLOOKUP($H9,QUALIFICHE!$A:$J,10)</f>
        <v>563.4</v>
      </c>
      <c r="W9" s="110">
        <f>VLOOKUP($H9,QUALIFICHE!$A:$K,11)</f>
        <v>198.84</v>
      </c>
      <c r="X9" s="73">
        <f t="shared" si="5"/>
        <v>41559.86</v>
      </c>
      <c r="Y9" s="71">
        <f t="shared" si="0"/>
        <v>41559.86</v>
      </c>
      <c r="Z9" s="71">
        <f t="shared" si="6"/>
        <v>40937.06</v>
      </c>
      <c r="AA9" s="25">
        <f>VLOOKUP($H9,QUALIFICHE!$A:$J,7)</f>
        <v>1.3</v>
      </c>
      <c r="AB9" s="72">
        <f t="shared" si="7"/>
        <v>540.27818</v>
      </c>
    </row>
    <row r="10" spans="1:28" s="15" customFormat="1" ht="15" customHeight="1" outlineLevel="2">
      <c r="A10" s="48">
        <v>5</v>
      </c>
      <c r="B10" s="48" t="s">
        <v>50</v>
      </c>
      <c r="C10" s="49">
        <v>10</v>
      </c>
      <c r="D10" s="43">
        <f>VLOOKUP($C10,CAPITOLI!$A:$E,3)</f>
        <v>1</v>
      </c>
      <c r="E10" s="44">
        <f>VLOOKUP($C10,CAPITOLI!$A:$E,4)</f>
        <v>2</v>
      </c>
      <c r="F10" s="45">
        <f>VLOOKUP($C10,CAPITOLI!$A:$E,5)</f>
        <v>1</v>
      </c>
      <c r="G10" s="49" t="s">
        <v>2</v>
      </c>
      <c r="H10" s="50" t="s">
        <v>31</v>
      </c>
      <c r="I10" s="46" t="str">
        <f>VLOOKUP(H10,QUALIFICHE!A:B,2,TRUE)</f>
        <v>COLLABORATORE</v>
      </c>
      <c r="J10" s="25">
        <f>VLOOKUP(H10,QUALIFICHE!A:J,3)</f>
        <v>18808.79</v>
      </c>
      <c r="K10" s="51">
        <v>0</v>
      </c>
      <c r="L10" s="51">
        <v>352.48</v>
      </c>
      <c r="M10" s="51">
        <v>0</v>
      </c>
      <c r="N10" s="25">
        <v>0</v>
      </c>
      <c r="O10" s="25">
        <f t="shared" si="3"/>
        <v>1596.77</v>
      </c>
      <c r="P10" s="25">
        <f t="shared" si="4"/>
        <v>0</v>
      </c>
      <c r="Q10" s="101">
        <v>906</v>
      </c>
      <c r="R10" s="25">
        <f>VLOOKUP($H10,QUALIFICHE!$A:$J,8)</f>
        <v>0</v>
      </c>
      <c r="S10" s="51">
        <v>0</v>
      </c>
      <c r="T10" s="51">
        <v>0</v>
      </c>
      <c r="U10" s="25">
        <f>VLOOKUP($H10,QUALIFICHE!$A:$J,9)</f>
        <v>44.76</v>
      </c>
      <c r="V10" s="25">
        <f>VLOOKUP($H10,QUALIFICHE!$A:$J,10)</f>
        <v>426.96</v>
      </c>
      <c r="W10" s="25">
        <f>VLOOKUP($H10,QUALIFICHE!$A:$K,11)</f>
        <v>141.12</v>
      </c>
      <c r="X10" s="73">
        <f t="shared" si="5"/>
        <v>22276.879999999997</v>
      </c>
      <c r="Y10" s="71">
        <f t="shared" si="0"/>
        <v>21370.879999999997</v>
      </c>
      <c r="Z10" s="71">
        <f t="shared" si="6"/>
        <v>20899.16</v>
      </c>
      <c r="AA10" s="25">
        <f>VLOOKUP($H10,QUALIFICHE!$A:$J,7)</f>
        <v>1.9</v>
      </c>
      <c r="AB10" s="72">
        <f t="shared" si="7"/>
        <v>406.04671999999994</v>
      </c>
    </row>
    <row r="11" spans="1:28" s="15" customFormat="1" ht="15" customHeight="1" outlineLevel="2">
      <c r="A11" s="48">
        <v>6</v>
      </c>
      <c r="B11" s="48" t="s">
        <v>66</v>
      </c>
      <c r="C11" s="49">
        <v>10</v>
      </c>
      <c r="D11" s="43">
        <f>VLOOKUP($C11,CAPITOLI!$A:$E,3)</f>
        <v>1</v>
      </c>
      <c r="E11" s="44">
        <f>VLOOKUP($C11,CAPITOLI!$A:$E,4)</f>
        <v>2</v>
      </c>
      <c r="F11" s="45">
        <f>VLOOKUP($C11,CAPITOLI!$A:$E,5)</f>
        <v>1</v>
      </c>
      <c r="G11" s="49" t="s">
        <v>2</v>
      </c>
      <c r="H11" s="50" t="s">
        <v>316</v>
      </c>
      <c r="I11" s="46" t="str">
        <f>VLOOKUP(H11,QUALIFICHE!A:B,2,TRUE)</f>
        <v>ESECUTORE      </v>
      </c>
      <c r="J11" s="25">
        <f>VLOOKUP(H11,QUALIFICHE!A:J,3)</f>
        <v>18808.79</v>
      </c>
      <c r="K11" s="51">
        <v>0</v>
      </c>
      <c r="L11" s="51">
        <v>456.87</v>
      </c>
      <c r="M11" s="51">
        <v>0</v>
      </c>
      <c r="N11" s="25">
        <f>VLOOKUP($H11,QUALIFICHE!$A:$J,5)</f>
        <v>0</v>
      </c>
      <c r="O11" s="25">
        <f t="shared" si="3"/>
        <v>1605.47</v>
      </c>
      <c r="P11" s="25">
        <f t="shared" si="4"/>
        <v>0</v>
      </c>
      <c r="Q11" s="101">
        <v>0</v>
      </c>
      <c r="R11" s="25">
        <f>VLOOKUP($H11,QUALIFICHE!$A:$J,8)</f>
        <v>64.56</v>
      </c>
      <c r="S11" s="51">
        <v>0</v>
      </c>
      <c r="T11" s="51">
        <v>0</v>
      </c>
      <c r="U11" s="25">
        <f>VLOOKUP($H11,QUALIFICHE!$A:$J,9)</f>
        <v>44.76</v>
      </c>
      <c r="V11" s="25">
        <f>VLOOKUP($H11,QUALIFICHE!$A:$J,10)</f>
        <v>426.96</v>
      </c>
      <c r="W11" s="25">
        <f>VLOOKUP($H11,QUALIFICHE!$A:$K,11)</f>
        <v>141.12</v>
      </c>
      <c r="X11" s="73">
        <f t="shared" si="5"/>
        <v>21548.53</v>
      </c>
      <c r="Y11" s="71">
        <f t="shared" si="0"/>
        <v>21548.53</v>
      </c>
      <c r="Z11" s="71">
        <f t="shared" si="6"/>
        <v>21076.81</v>
      </c>
      <c r="AA11" s="25">
        <f>VLOOKUP($H11,QUALIFICHE!$A:$J,7)</f>
        <v>1.9</v>
      </c>
      <c r="AB11" s="72">
        <f t="shared" si="7"/>
        <v>409.42206999999996</v>
      </c>
    </row>
    <row r="12" spans="1:28" s="15" customFormat="1" ht="15" customHeight="1" outlineLevel="2">
      <c r="A12" s="48">
        <v>7</v>
      </c>
      <c r="B12" s="48" t="s">
        <v>80</v>
      </c>
      <c r="C12" s="49">
        <v>10</v>
      </c>
      <c r="D12" s="43">
        <f>VLOOKUP($C12,CAPITOLI!$A:$E,3)</f>
        <v>1</v>
      </c>
      <c r="E12" s="44">
        <f>VLOOKUP($C12,CAPITOLI!$A:$E,4)</f>
        <v>2</v>
      </c>
      <c r="F12" s="45">
        <f>VLOOKUP($C12,CAPITOLI!$A:$E,5)</f>
        <v>1</v>
      </c>
      <c r="G12" s="49" t="s">
        <v>2</v>
      </c>
      <c r="H12" s="50" t="s">
        <v>329</v>
      </c>
      <c r="I12" s="46" t="str">
        <f>VLOOKUP(H12,QUALIFICHE!A:B,2,TRUE)</f>
        <v>OPERATORE      </v>
      </c>
      <c r="J12" s="25">
        <f>VLOOKUP(H12,QUALIFICHE!A:J,3)</f>
        <v>17539.65</v>
      </c>
      <c r="K12" s="51">
        <v>0</v>
      </c>
      <c r="L12" s="51">
        <v>878.64</v>
      </c>
      <c r="M12" s="51">
        <v>0</v>
      </c>
      <c r="N12" s="25">
        <f>VLOOKUP($H12,QUALIFICHE!$A:$J,5)</f>
        <v>0</v>
      </c>
      <c r="O12" s="25">
        <f>ROUND((J12+K12+L12+M12)/12,2)</f>
        <v>1534.86</v>
      </c>
      <c r="P12" s="25">
        <f>N12/12</f>
        <v>0</v>
      </c>
      <c r="Q12" s="101">
        <v>0</v>
      </c>
      <c r="R12" s="25">
        <f>VLOOKUP($H12,QUALIFICHE!$A:$J,8)</f>
        <v>64.56</v>
      </c>
      <c r="S12" s="51">
        <v>0</v>
      </c>
      <c r="T12" s="51">
        <v>0</v>
      </c>
      <c r="U12" s="25">
        <f>VLOOKUP($H12,QUALIFICHE!$A:$J,9)</f>
        <v>37.08</v>
      </c>
      <c r="V12" s="25">
        <f>VLOOKUP($H12,QUALIFICHE!$A:$J,10)</f>
        <v>351.72</v>
      </c>
      <c r="W12" s="25">
        <f>VLOOKUP($H12,QUALIFICHE!$A:$K,11)</f>
        <v>131.52</v>
      </c>
      <c r="X12" s="73">
        <f>J12+K12+L12+N12+O12+P12+Q12+M12+R12+S12+T12+U12+V12+W12</f>
        <v>20538.030000000006</v>
      </c>
      <c r="Y12" s="71">
        <f>X12-Q12</f>
        <v>20538.030000000006</v>
      </c>
      <c r="Z12" s="71">
        <f>Y12-U12-V12-T12</f>
        <v>20149.230000000003</v>
      </c>
      <c r="AA12" s="25">
        <f>VLOOKUP($H12,QUALIFICHE!$A:$J,7)</f>
        <v>3.5</v>
      </c>
      <c r="AB12" s="72">
        <f>Y12*AA12/100</f>
        <v>718.8310500000002</v>
      </c>
    </row>
    <row r="13" spans="1:28" s="15" customFormat="1" ht="15" customHeight="1" outlineLevel="2">
      <c r="A13" s="48">
        <v>8</v>
      </c>
      <c r="B13" s="48" t="s">
        <v>51</v>
      </c>
      <c r="C13" s="49">
        <v>10</v>
      </c>
      <c r="D13" s="43">
        <f>VLOOKUP($C13,CAPITOLI!$A:$E,3)</f>
        <v>1</v>
      </c>
      <c r="E13" s="44">
        <f>VLOOKUP($C13,CAPITOLI!$A:$E,4)</f>
        <v>2</v>
      </c>
      <c r="F13" s="45">
        <f>VLOOKUP($C13,CAPITOLI!$A:$E,5)</f>
        <v>1</v>
      </c>
      <c r="G13" s="49" t="s">
        <v>2</v>
      </c>
      <c r="H13" s="50" t="s">
        <v>28</v>
      </c>
      <c r="I13" s="46" t="str">
        <f>VLOOKUP(H13,QUALIFICHE!A:B,2,TRUE)</f>
        <v>ISTRUTTORE     </v>
      </c>
      <c r="J13" s="25">
        <f>VLOOKUP(H13,QUALIFICHE!A:J,3)</f>
        <v>21120.11</v>
      </c>
      <c r="K13" s="51">
        <v>0</v>
      </c>
      <c r="L13" s="51">
        <v>743.8</v>
      </c>
      <c r="M13" s="51">
        <v>0</v>
      </c>
      <c r="N13" s="25">
        <f>VLOOKUP($H13,QUALIFICHE!$A:$J,5)</f>
        <v>0</v>
      </c>
      <c r="O13" s="25">
        <f>ROUND((J13+K13+L13+M13)/12,2)</f>
        <v>1821.99</v>
      </c>
      <c r="P13" s="25">
        <f>N13/12</f>
        <v>0</v>
      </c>
      <c r="Q13" s="101">
        <v>0</v>
      </c>
      <c r="R13" s="25">
        <f>VLOOKUP($H13,QUALIFICHE!$A:$J,8)</f>
        <v>0</v>
      </c>
      <c r="S13" s="51">
        <v>0</v>
      </c>
      <c r="T13" s="51">
        <v>0</v>
      </c>
      <c r="U13" s="25">
        <f>VLOOKUP($H13,QUALIFICHE!$A:$J,9)</f>
        <v>52.08</v>
      </c>
      <c r="V13" s="25">
        <f>VLOOKUP($H13,QUALIFICHE!$A:$J,10)</f>
        <v>497.52</v>
      </c>
      <c r="W13" s="25">
        <f>VLOOKUP($H13,QUALIFICHE!$A:$K,11)</f>
        <v>158.4</v>
      </c>
      <c r="X13" s="73">
        <f>J13+K13+L13+N13+O13+P13+Q13+M13+R13+S13+T13+U13+V13+W13</f>
        <v>24393.900000000005</v>
      </c>
      <c r="Y13" s="71">
        <f>X13-Q13</f>
        <v>24393.900000000005</v>
      </c>
      <c r="Z13" s="71">
        <f>Y13-U13-V13-T13</f>
        <v>23844.300000000003</v>
      </c>
      <c r="AA13" s="25">
        <f>VLOOKUP($H13,QUALIFICHE!$A:$J,7)</f>
        <v>1.3</v>
      </c>
      <c r="AB13" s="72">
        <f>Y13*AA13/100</f>
        <v>317.12070000000006</v>
      </c>
    </row>
    <row r="14" spans="1:28" s="15" customFormat="1" ht="15" customHeight="1" outlineLevel="2">
      <c r="A14" s="48"/>
      <c r="B14" s="48"/>
      <c r="C14" s="49"/>
      <c r="D14" s="43"/>
      <c r="E14" s="44"/>
      <c r="F14" s="45"/>
      <c r="G14" s="49"/>
      <c r="H14" s="50"/>
      <c r="I14" s="46"/>
      <c r="J14" s="25"/>
      <c r="K14" s="51"/>
      <c r="L14" s="51"/>
      <c r="M14" s="51"/>
      <c r="N14" s="25"/>
      <c r="O14" s="25"/>
      <c r="P14" s="25"/>
      <c r="Q14" s="101"/>
      <c r="R14" s="25"/>
      <c r="S14" s="51"/>
      <c r="T14" s="51"/>
      <c r="U14" s="25"/>
      <c r="V14" s="25"/>
      <c r="W14" s="25"/>
      <c r="X14" s="73"/>
      <c r="Y14" s="71"/>
      <c r="Z14" s="71"/>
      <c r="AA14" s="25"/>
      <c r="AB14" s="72"/>
    </row>
    <row r="15" spans="1:28" s="84" customFormat="1" ht="15" customHeight="1" outlineLevel="1">
      <c r="A15" s="75"/>
      <c r="B15" s="75"/>
      <c r="C15" s="76" t="s">
        <v>365</v>
      </c>
      <c r="D15" s="77"/>
      <c r="E15" s="74"/>
      <c r="F15" s="78"/>
      <c r="G15" s="76"/>
      <c r="H15" s="79"/>
      <c r="I15" s="80"/>
      <c r="J15" s="81">
        <f aca="true" t="shared" si="8" ref="J15:Z15">SUBTOTAL(9,J6:J14)</f>
        <v>163837.21000000002</v>
      </c>
      <c r="K15" s="82">
        <f t="shared" si="8"/>
        <v>0</v>
      </c>
      <c r="L15" s="82">
        <f t="shared" si="8"/>
        <v>4140.55</v>
      </c>
      <c r="M15" s="82">
        <f t="shared" si="8"/>
        <v>10300</v>
      </c>
      <c r="N15" s="81">
        <f t="shared" si="8"/>
        <v>178.8</v>
      </c>
      <c r="O15" s="81">
        <f t="shared" si="8"/>
        <v>14856.48</v>
      </c>
      <c r="P15" s="81">
        <f t="shared" si="8"/>
        <v>14.9</v>
      </c>
      <c r="Q15" s="102">
        <f t="shared" si="8"/>
        <v>1399.56</v>
      </c>
      <c r="R15" s="81">
        <f t="shared" si="8"/>
        <v>129.12</v>
      </c>
      <c r="S15" s="82">
        <f t="shared" si="8"/>
        <v>0</v>
      </c>
      <c r="T15" s="82">
        <f t="shared" si="8"/>
        <v>0</v>
      </c>
      <c r="U15" s="81">
        <f t="shared" si="8"/>
        <v>387</v>
      </c>
      <c r="V15" s="81">
        <f t="shared" si="8"/>
        <v>3688.56</v>
      </c>
      <c r="W15" s="81">
        <f t="shared" si="8"/>
        <v>1228.92</v>
      </c>
      <c r="X15" s="83">
        <f t="shared" si="8"/>
        <v>200161.1</v>
      </c>
      <c r="Y15" s="83">
        <f t="shared" si="8"/>
        <v>198761.54</v>
      </c>
      <c r="Z15" s="83">
        <f t="shared" si="8"/>
        <v>194685.98000000004</v>
      </c>
      <c r="AA15" s="81"/>
      <c r="AB15" s="83">
        <f>SUBTOTAL(9,AB6:AB14)</f>
        <v>3422.0517200000004</v>
      </c>
    </row>
    <row r="16" spans="1:28" s="15" customFormat="1" ht="15" customHeight="1" outlineLevel="2">
      <c r="A16" s="48">
        <v>1</v>
      </c>
      <c r="B16" s="48" t="s">
        <v>33</v>
      </c>
      <c r="C16" s="49">
        <v>14</v>
      </c>
      <c r="D16" s="43">
        <f>VLOOKUP($C16,CAPITOLI!$A:$E,3)</f>
        <v>1</v>
      </c>
      <c r="E16" s="44">
        <f>VLOOKUP($C16,CAPITOLI!$A:$E,4)</f>
        <v>8</v>
      </c>
      <c r="F16" s="45">
        <f>VLOOKUP($C16,CAPITOLI!$A:$E,5)</f>
        <v>2</v>
      </c>
      <c r="G16" s="49" t="s">
        <v>2</v>
      </c>
      <c r="H16" s="50" t="s">
        <v>28</v>
      </c>
      <c r="I16" s="46" t="str">
        <f>VLOOKUP(H16,QUALIFICHE!A:B,2,TRUE)</f>
        <v>ISTRUTTORE     </v>
      </c>
      <c r="J16" s="25">
        <f>VLOOKUP(H16,QUALIFICHE!A:J,3)</f>
        <v>21120.11</v>
      </c>
      <c r="K16" s="51">
        <v>0</v>
      </c>
      <c r="L16" s="51">
        <v>0</v>
      </c>
      <c r="M16" s="51">
        <v>0</v>
      </c>
      <c r="N16" s="25">
        <f>VLOOKUP($H16,QUALIFICHE!$A:$J,5)</f>
        <v>0</v>
      </c>
      <c r="O16" s="25">
        <f>ROUND((J16+K16+L16+M16)/12,2)</f>
        <v>1760.01</v>
      </c>
      <c r="P16" s="25">
        <f t="shared" si="4"/>
        <v>0</v>
      </c>
      <c r="Q16" s="101">
        <v>0</v>
      </c>
      <c r="R16" s="25">
        <f>VLOOKUP($H16,QUALIFICHE!$A:$J,8)</f>
        <v>0</v>
      </c>
      <c r="S16" s="51">
        <v>0</v>
      </c>
      <c r="T16" s="51">
        <v>0</v>
      </c>
      <c r="U16" s="25">
        <f>VLOOKUP($H16,QUALIFICHE!$A:$J,9)</f>
        <v>52.08</v>
      </c>
      <c r="V16" s="25">
        <f>VLOOKUP($H16,QUALIFICHE!$A:$J,10)</f>
        <v>497.52</v>
      </c>
      <c r="W16" s="25">
        <f>VLOOKUP($H16,QUALIFICHE!$A:$K,11)</f>
        <v>158.4</v>
      </c>
      <c r="X16" s="73">
        <f>J16+K16+L16+N16+O16+P16+Q16+M16+R16+S16+T16+U16+V16+W16</f>
        <v>23588.120000000003</v>
      </c>
      <c r="Y16" s="71">
        <f t="shared" si="0"/>
        <v>23588.120000000003</v>
      </c>
      <c r="Z16" s="71">
        <f>Y16-U16-V16-T16</f>
        <v>23038.52</v>
      </c>
      <c r="AA16" s="25">
        <f>VLOOKUP($H16,QUALIFICHE!$A:$J,7)</f>
        <v>1.3</v>
      </c>
      <c r="AB16" s="72">
        <f t="shared" si="7"/>
        <v>306.64556000000005</v>
      </c>
    </row>
    <row r="17" spans="1:28" s="15" customFormat="1" ht="15" customHeight="1" outlineLevel="2">
      <c r="A17" s="48">
        <v>2</v>
      </c>
      <c r="B17" s="48" t="s">
        <v>34</v>
      </c>
      <c r="C17" s="49">
        <v>14</v>
      </c>
      <c r="D17" s="43">
        <f>VLOOKUP($C17,CAPITOLI!$A:$E,3)</f>
        <v>1</v>
      </c>
      <c r="E17" s="44">
        <f>VLOOKUP($C17,CAPITOLI!$A:$E,4)</f>
        <v>8</v>
      </c>
      <c r="F17" s="45">
        <f>VLOOKUP($C17,CAPITOLI!$A:$E,5)</f>
        <v>2</v>
      </c>
      <c r="G17" s="49" t="s">
        <v>2</v>
      </c>
      <c r="H17" s="50" t="s">
        <v>28</v>
      </c>
      <c r="I17" s="46" t="str">
        <f>VLOOKUP(H17,QUALIFICHE!A:B,2,TRUE)</f>
        <v>ISTRUTTORE     </v>
      </c>
      <c r="J17" s="25">
        <f>VLOOKUP(H17,QUALIFICHE!A:J,3)</f>
        <v>21120.11</v>
      </c>
      <c r="K17" s="51">
        <v>0</v>
      </c>
      <c r="L17" s="51">
        <v>0</v>
      </c>
      <c r="M17" s="51">
        <v>0</v>
      </c>
      <c r="N17" s="25">
        <f>VLOOKUP($H17,QUALIFICHE!$A:$J,5)</f>
        <v>0</v>
      </c>
      <c r="O17" s="25">
        <f>ROUND((J17+K17+L17+M17)/12,2)</f>
        <v>1760.01</v>
      </c>
      <c r="P17" s="25">
        <f t="shared" si="4"/>
        <v>0</v>
      </c>
      <c r="Q17" s="101">
        <v>0</v>
      </c>
      <c r="R17" s="25">
        <f>VLOOKUP($H17,QUALIFICHE!$A:$J,8)</f>
        <v>0</v>
      </c>
      <c r="S17" s="51">
        <v>0</v>
      </c>
      <c r="T17" s="51">
        <v>0</v>
      </c>
      <c r="U17" s="25">
        <f>VLOOKUP($H17,QUALIFICHE!$A:$J,9)</f>
        <v>52.08</v>
      </c>
      <c r="V17" s="25">
        <f>VLOOKUP($H17,QUALIFICHE!$A:$J,10)</f>
        <v>497.52</v>
      </c>
      <c r="W17" s="25">
        <f>VLOOKUP($H17,QUALIFICHE!$A:$K,11)</f>
        <v>158.4</v>
      </c>
      <c r="X17" s="73">
        <f>J17+K17+L17+N17+O17+P17+Q17+M17+R17+S17+T17+U17+V17+W17</f>
        <v>23588.120000000003</v>
      </c>
      <c r="Y17" s="71">
        <f t="shared" si="0"/>
        <v>23588.120000000003</v>
      </c>
      <c r="Z17" s="71">
        <f>Y17-U17-V17-T17</f>
        <v>23038.52</v>
      </c>
      <c r="AA17" s="25">
        <f>VLOOKUP($H17,QUALIFICHE!$A:$J,7)</f>
        <v>1.3</v>
      </c>
      <c r="AB17" s="72">
        <f t="shared" si="7"/>
        <v>306.64556000000005</v>
      </c>
    </row>
    <row r="18" spans="1:28" s="15" customFormat="1" ht="15" customHeight="1" outlineLevel="2">
      <c r="A18" s="48">
        <v>3</v>
      </c>
      <c r="B18" s="48" t="s">
        <v>61</v>
      </c>
      <c r="C18" s="49">
        <v>14</v>
      </c>
      <c r="D18" s="43">
        <f>VLOOKUP($C18,CAPITOLI!$A:$E,3)</f>
        <v>1</v>
      </c>
      <c r="E18" s="44">
        <f>VLOOKUP($C18,CAPITOLI!$A:$E,4)</f>
        <v>8</v>
      </c>
      <c r="F18" s="45">
        <f>VLOOKUP($C18,CAPITOLI!$A:$E,5)</f>
        <v>2</v>
      </c>
      <c r="G18" s="49" t="s">
        <v>2</v>
      </c>
      <c r="H18" s="50" t="s">
        <v>329</v>
      </c>
      <c r="I18" s="46" t="str">
        <f>VLOOKUP(H18,QUALIFICHE!A:B,2,TRUE)</f>
        <v>OPERATORE      </v>
      </c>
      <c r="J18" s="25">
        <f>VLOOKUP(H18,QUALIFICHE!A:J,3)</f>
        <v>17539.65</v>
      </c>
      <c r="K18" s="51">
        <v>0</v>
      </c>
      <c r="L18" s="51">
        <v>661.53</v>
      </c>
      <c r="M18" s="51">
        <v>0</v>
      </c>
      <c r="N18" s="25">
        <f>VLOOKUP($H18,QUALIFICHE!$A:$J,5)</f>
        <v>0</v>
      </c>
      <c r="O18" s="25">
        <f>ROUND((J18+K18+L18+M18)/12,2)</f>
        <v>1516.77</v>
      </c>
      <c r="P18" s="25">
        <f t="shared" si="4"/>
        <v>0</v>
      </c>
      <c r="Q18" s="101">
        <v>123.96</v>
      </c>
      <c r="R18" s="25">
        <f>VLOOKUP($H18,QUALIFICHE!$A:$J,8)</f>
        <v>64.56</v>
      </c>
      <c r="S18" s="51">
        <v>0</v>
      </c>
      <c r="T18" s="51">
        <v>0</v>
      </c>
      <c r="U18" s="25">
        <f>VLOOKUP($H18,QUALIFICHE!$A:$J,9)</f>
        <v>37.08</v>
      </c>
      <c r="V18" s="25">
        <f>VLOOKUP($H18,QUALIFICHE!$A:$J,10)</f>
        <v>351.72</v>
      </c>
      <c r="W18" s="25">
        <f>VLOOKUP($H18,QUALIFICHE!$A:$K,11)</f>
        <v>131.52</v>
      </c>
      <c r="X18" s="73">
        <f>J18+K18+L18+N18+O18+P18+Q18+M18+R18+S18+T18+U18+V18+W18</f>
        <v>20426.790000000005</v>
      </c>
      <c r="Y18" s="71">
        <f t="shared" si="0"/>
        <v>20302.830000000005</v>
      </c>
      <c r="Z18" s="71">
        <f>Y18-U18-V18-T18</f>
        <v>19914.030000000002</v>
      </c>
      <c r="AA18" s="25">
        <f>VLOOKUP($H18,QUALIFICHE!$A:$J,7)</f>
        <v>3.5</v>
      </c>
      <c r="AB18" s="72">
        <f t="shared" si="7"/>
        <v>710.5990500000001</v>
      </c>
    </row>
    <row r="19" spans="1:28" s="84" customFormat="1" ht="15" customHeight="1" outlineLevel="1">
      <c r="A19" s="75"/>
      <c r="B19" s="75"/>
      <c r="C19" s="76" t="s">
        <v>366</v>
      </c>
      <c r="D19" s="77"/>
      <c r="E19" s="74"/>
      <c r="F19" s="78"/>
      <c r="G19" s="76"/>
      <c r="H19" s="79"/>
      <c r="I19" s="80"/>
      <c r="J19" s="81">
        <f aca="true" t="shared" si="9" ref="J19:Z19">SUBTOTAL(9,J16:J18)</f>
        <v>59779.87</v>
      </c>
      <c r="K19" s="82">
        <f t="shared" si="9"/>
        <v>0</v>
      </c>
      <c r="L19" s="82">
        <f t="shared" si="9"/>
        <v>661.53</v>
      </c>
      <c r="M19" s="82">
        <f t="shared" si="9"/>
        <v>0</v>
      </c>
      <c r="N19" s="81">
        <f t="shared" si="9"/>
        <v>0</v>
      </c>
      <c r="O19" s="81">
        <f t="shared" si="9"/>
        <v>5036.79</v>
      </c>
      <c r="P19" s="81">
        <f t="shared" si="9"/>
        <v>0</v>
      </c>
      <c r="Q19" s="102">
        <f t="shared" si="9"/>
        <v>123.96</v>
      </c>
      <c r="R19" s="81">
        <f t="shared" si="9"/>
        <v>64.56</v>
      </c>
      <c r="S19" s="82">
        <f t="shared" si="9"/>
        <v>0</v>
      </c>
      <c r="T19" s="82">
        <f t="shared" si="9"/>
        <v>0</v>
      </c>
      <c r="U19" s="81">
        <f t="shared" si="9"/>
        <v>141.24</v>
      </c>
      <c r="V19" s="81">
        <f t="shared" si="9"/>
        <v>1346.76</v>
      </c>
      <c r="W19" s="81">
        <f t="shared" si="9"/>
        <v>448.32000000000005</v>
      </c>
      <c r="X19" s="83">
        <f t="shared" si="9"/>
        <v>67603.03000000001</v>
      </c>
      <c r="Y19" s="83">
        <f t="shared" si="9"/>
        <v>67479.07</v>
      </c>
      <c r="Z19" s="83">
        <f t="shared" si="9"/>
        <v>65991.07</v>
      </c>
      <c r="AA19" s="81"/>
      <c r="AB19" s="83">
        <f>SUBTOTAL(9,AB16:AB18)</f>
        <v>1323.8901700000001</v>
      </c>
    </row>
    <row r="20" spans="1:28" s="15" customFormat="1" ht="15" customHeight="1" outlineLevel="2">
      <c r="A20" s="48">
        <v>1</v>
      </c>
      <c r="B20" s="48" t="s">
        <v>5</v>
      </c>
      <c r="C20" s="49">
        <v>55</v>
      </c>
      <c r="D20" s="43">
        <f>VLOOKUP($C20,CAPITOLI!$A:$E,3)</f>
        <v>1</v>
      </c>
      <c r="E20" s="44">
        <f>VLOOKUP($C20,CAPITOLI!$A:$E,4)</f>
        <v>3</v>
      </c>
      <c r="F20" s="45">
        <f>VLOOKUP($C20,CAPITOLI!$A:$E,5)</f>
        <v>1</v>
      </c>
      <c r="G20" s="49" t="s">
        <v>2</v>
      </c>
      <c r="H20" s="50" t="s">
        <v>58</v>
      </c>
      <c r="I20" s="46" t="str">
        <f>VLOOKUP(H20,QUALIFICHE!A:B,2,TRUE)</f>
        <v>FUNZIONARIO</v>
      </c>
      <c r="J20" s="25">
        <f>VLOOKUP(H20,QUALIFICHE!A:J,3)</f>
        <v>25377.76</v>
      </c>
      <c r="K20" s="51">
        <v>0</v>
      </c>
      <c r="L20" s="51">
        <v>1032.9</v>
      </c>
      <c r="M20" s="51">
        <v>9500</v>
      </c>
      <c r="N20" s="25">
        <v>0</v>
      </c>
      <c r="O20" s="25">
        <f>ROUND((J20+K20+L20+M20)/12,2)</f>
        <v>2992.56</v>
      </c>
      <c r="P20" s="25">
        <f t="shared" si="4"/>
        <v>0</v>
      </c>
      <c r="Q20" s="101">
        <v>0</v>
      </c>
      <c r="R20" s="25">
        <f>VLOOKUP($H20,QUALIFICHE!$A:$J,8)</f>
        <v>0</v>
      </c>
      <c r="S20" s="51">
        <v>0</v>
      </c>
      <c r="T20" s="51">
        <v>0</v>
      </c>
      <c r="U20" s="25">
        <f>VLOOKUP($H20,QUALIFICHE!$A:$J,9)</f>
        <v>59.4</v>
      </c>
      <c r="V20" s="25">
        <f>VLOOKUP($H20,QUALIFICHE!$A:$J,10)</f>
        <v>563.4</v>
      </c>
      <c r="W20" s="25">
        <f>VLOOKUP($H20,QUALIFICHE!$A:$K,11)</f>
        <v>190.32</v>
      </c>
      <c r="X20" s="73">
        <f>J20+K20+L20+N20+O20+P20+Q20+M20+R20+S20+T20+U20+V20+W20</f>
        <v>39716.340000000004</v>
      </c>
      <c r="Y20" s="71">
        <f t="shared" si="0"/>
        <v>39716.340000000004</v>
      </c>
      <c r="Z20" s="71">
        <f>Y20-U20-V20-T20</f>
        <v>39093.54</v>
      </c>
      <c r="AA20" s="25">
        <f>VLOOKUP($H20,QUALIFICHE!$A:$J,7)</f>
        <v>1.3</v>
      </c>
      <c r="AB20" s="72">
        <f t="shared" si="7"/>
        <v>516.3124200000001</v>
      </c>
    </row>
    <row r="21" spans="1:28" s="15" customFormat="1" ht="15" customHeight="1" outlineLevel="2">
      <c r="A21" s="48">
        <v>2</v>
      </c>
      <c r="B21" s="48" t="s">
        <v>67</v>
      </c>
      <c r="C21" s="49">
        <v>55</v>
      </c>
      <c r="D21" s="43">
        <f>VLOOKUP($C21,CAPITOLI!$A:$E,3)</f>
        <v>1</v>
      </c>
      <c r="E21" s="44">
        <f>VLOOKUP($C21,CAPITOLI!$A:$E,4)</f>
        <v>3</v>
      </c>
      <c r="F21" s="45">
        <f>VLOOKUP($C21,CAPITOLI!$A:$E,5)</f>
        <v>1</v>
      </c>
      <c r="G21" s="49" t="s">
        <v>2</v>
      </c>
      <c r="H21" s="50" t="s">
        <v>333</v>
      </c>
      <c r="I21" s="46" t="str">
        <f>VLOOKUP(H21,QUALIFICHE!A:B,2,TRUE)</f>
        <v>ISTRUTTORE     </v>
      </c>
      <c r="J21" s="25">
        <f>VLOOKUP(H21,QUALIFICHE!A:J,3)</f>
        <v>21901.32</v>
      </c>
      <c r="K21" s="51">
        <v>0</v>
      </c>
      <c r="L21" s="51">
        <v>487.68</v>
      </c>
      <c r="M21" s="51">
        <v>0</v>
      </c>
      <c r="N21" s="25">
        <f>VLOOKUP($H21,QUALIFICHE!$A:$J,5)</f>
        <v>0</v>
      </c>
      <c r="O21" s="25">
        <f>ROUND((J21+K21+L21+M21)/12,2)</f>
        <v>1865.75</v>
      </c>
      <c r="P21" s="25">
        <f t="shared" si="4"/>
        <v>0</v>
      </c>
      <c r="Q21" s="101">
        <v>0</v>
      </c>
      <c r="R21" s="25">
        <f>VLOOKUP($H21,QUALIFICHE!$A:$J,8)</f>
        <v>0</v>
      </c>
      <c r="S21" s="51">
        <v>0</v>
      </c>
      <c r="T21" s="51">
        <v>0</v>
      </c>
      <c r="U21" s="25">
        <f>VLOOKUP($H21,QUALIFICHE!$A:$J,9)</f>
        <v>52.08</v>
      </c>
      <c r="V21" s="25">
        <f>VLOOKUP($H21,QUALIFICHE!$A:$J,10)</f>
        <v>497.52</v>
      </c>
      <c r="W21" s="25">
        <f>VLOOKUP($H21,QUALIFICHE!$A:$K,11)</f>
        <v>164.28</v>
      </c>
      <c r="X21" s="73">
        <f>J21+K21+L21+N21+O21+P21+Q21+M21+R21+S21+T21+U21+V21+W21</f>
        <v>24968.63</v>
      </c>
      <c r="Y21" s="71">
        <f t="shared" si="0"/>
        <v>24968.63</v>
      </c>
      <c r="Z21" s="71">
        <f>Y21-U21-V21-T21</f>
        <v>24419.03</v>
      </c>
      <c r="AA21" s="25">
        <f>VLOOKUP($H21,QUALIFICHE!$A:$J,7)</f>
        <v>1.3</v>
      </c>
      <c r="AB21" s="72">
        <f t="shared" si="7"/>
        <v>324.59219</v>
      </c>
    </row>
    <row r="22" spans="1:28" s="15" customFormat="1" ht="15" customHeight="1" outlineLevel="2">
      <c r="A22" s="48">
        <v>3</v>
      </c>
      <c r="B22" s="48" t="s">
        <v>9</v>
      </c>
      <c r="C22" s="49">
        <v>55</v>
      </c>
      <c r="D22" s="43">
        <f>VLOOKUP($C22,CAPITOLI!$A:$E,3)</f>
        <v>1</v>
      </c>
      <c r="E22" s="44">
        <f>VLOOKUP($C22,CAPITOLI!$A:$E,4)</f>
        <v>3</v>
      </c>
      <c r="F22" s="45">
        <f>VLOOKUP($C22,CAPITOLI!$A:$E,5)</f>
        <v>1</v>
      </c>
      <c r="G22" s="49" t="s">
        <v>2</v>
      </c>
      <c r="H22" s="50" t="s">
        <v>325</v>
      </c>
      <c r="I22" s="46" t="str">
        <f>VLOOKUP(H22,QUALIFICHE!A:B,2,TRUE)</f>
        <v>ISTRUTT.DIR.VO </v>
      </c>
      <c r="J22" s="25">
        <f>VLOOKUP(H22,QUALIFICHE!A:J,3)</f>
        <v>22203.89</v>
      </c>
      <c r="K22" s="51">
        <v>0</v>
      </c>
      <c r="L22" s="51">
        <v>630.87</v>
      </c>
      <c r="M22" s="51">
        <v>0</v>
      </c>
      <c r="N22" s="25">
        <f>VLOOKUP($H22,QUALIFICHE!$A:$J,5)</f>
        <v>0</v>
      </c>
      <c r="O22" s="25">
        <f>ROUND((J22+K22+L22+M22)/12,2)</f>
        <v>1902.9</v>
      </c>
      <c r="P22" s="25">
        <f t="shared" si="4"/>
        <v>0</v>
      </c>
      <c r="Q22" s="101">
        <v>0</v>
      </c>
      <c r="R22" s="25">
        <f>VLOOKUP($H22,QUALIFICHE!$A:$J,8)</f>
        <v>0</v>
      </c>
      <c r="S22" s="51">
        <v>0</v>
      </c>
      <c r="T22" s="51">
        <v>0</v>
      </c>
      <c r="U22" s="25">
        <f>VLOOKUP($H22,QUALIFICHE!$A:$J,9)</f>
        <v>59.4</v>
      </c>
      <c r="V22" s="25">
        <f>VLOOKUP($H22,QUALIFICHE!$A:$J,10)</f>
        <v>563.4</v>
      </c>
      <c r="W22" s="25">
        <f>VLOOKUP($H22,QUALIFICHE!$A:$K,11)</f>
        <v>166.56</v>
      </c>
      <c r="X22" s="73">
        <f>J22+K22+L22+N22+O22+P22+Q22+M22+R22+S22+T22+U22+V22+W22</f>
        <v>25527.020000000004</v>
      </c>
      <c r="Y22" s="71">
        <f t="shared" si="0"/>
        <v>25527.020000000004</v>
      </c>
      <c r="Z22" s="71">
        <f>Y22-U22-V22-T22</f>
        <v>24904.22</v>
      </c>
      <c r="AA22" s="25">
        <f>VLOOKUP($H22,QUALIFICHE!$A:$J,7)</f>
        <v>1.3</v>
      </c>
      <c r="AB22" s="72">
        <f t="shared" si="7"/>
        <v>331.85126</v>
      </c>
    </row>
    <row r="23" spans="1:28" s="15" customFormat="1" ht="15" customHeight="1" outlineLevel="2">
      <c r="A23" s="48">
        <v>4</v>
      </c>
      <c r="B23" s="48" t="s">
        <v>12</v>
      </c>
      <c r="C23" s="49">
        <v>55</v>
      </c>
      <c r="D23" s="43">
        <f>VLOOKUP($C23,CAPITOLI!$A:$E,3)</f>
        <v>1</v>
      </c>
      <c r="E23" s="44">
        <f>VLOOKUP($C23,CAPITOLI!$A:$E,4)</f>
        <v>3</v>
      </c>
      <c r="F23" s="45">
        <f>VLOOKUP($C23,CAPITOLI!$A:$E,5)</f>
        <v>1</v>
      </c>
      <c r="G23" s="49" t="s">
        <v>2</v>
      </c>
      <c r="H23" s="50" t="s">
        <v>332</v>
      </c>
      <c r="I23" s="46" t="str">
        <f>VLOOKUP(H23,QUALIFICHE!A:B,2,TRUE)</f>
        <v>COLLABORATORE</v>
      </c>
      <c r="J23" s="25">
        <f>VLOOKUP(H23,QUALIFICHE!A:J,3)</f>
        <v>19878.4</v>
      </c>
      <c r="K23" s="51">
        <v>0</v>
      </c>
      <c r="L23" s="51">
        <v>456.87</v>
      </c>
      <c r="M23" s="51">
        <v>0</v>
      </c>
      <c r="N23" s="25">
        <f>VLOOKUP($H23,QUALIFICHE!$A:$J,5)</f>
        <v>55.32</v>
      </c>
      <c r="O23" s="25">
        <f>ROUND((J23+K23+L23+M23)/12,2)</f>
        <v>1694.61</v>
      </c>
      <c r="P23" s="25">
        <f t="shared" si="4"/>
        <v>4.61</v>
      </c>
      <c r="Q23" s="101">
        <v>0</v>
      </c>
      <c r="R23" s="25">
        <f>VLOOKUP($H23,QUALIFICHE!$A:$J,8)</f>
        <v>0</v>
      </c>
      <c r="S23" s="51">
        <v>0</v>
      </c>
      <c r="T23" s="51">
        <v>0</v>
      </c>
      <c r="U23" s="25">
        <f>VLOOKUP($H23,QUALIFICHE!$A:$J,9)</f>
        <v>44.76</v>
      </c>
      <c r="V23" s="25">
        <f>VLOOKUP($H23,QUALIFICHE!$A:$J,10)</f>
        <v>426.96</v>
      </c>
      <c r="W23" s="25">
        <f>VLOOKUP($H23,QUALIFICHE!$A:$K,11)</f>
        <v>149.04</v>
      </c>
      <c r="X23" s="73">
        <f>J23+K23+L23+N23+O23+P23+Q23+M23+R23+S23+T23+U23+V23+W23</f>
        <v>22710.57</v>
      </c>
      <c r="Y23" s="71">
        <f t="shared" si="0"/>
        <v>22710.57</v>
      </c>
      <c r="Z23" s="71">
        <f>Y23-U23-V23-T23</f>
        <v>22238.850000000002</v>
      </c>
      <c r="AA23" s="25">
        <f>VLOOKUP($H23,QUALIFICHE!$A:$J,7)</f>
        <v>1.9</v>
      </c>
      <c r="AB23" s="72">
        <f t="shared" si="7"/>
        <v>431.50083</v>
      </c>
    </row>
    <row r="24" spans="1:28" s="15" customFormat="1" ht="15" customHeight="1" outlineLevel="2">
      <c r="A24" s="48">
        <v>5</v>
      </c>
      <c r="B24" s="48" t="s">
        <v>73</v>
      </c>
      <c r="C24" s="49">
        <v>55</v>
      </c>
      <c r="D24" s="43">
        <f>VLOOKUP($C24,CAPITOLI!$A:$E,3)</f>
        <v>1</v>
      </c>
      <c r="E24" s="44">
        <f>VLOOKUP($C24,CAPITOLI!$A:$E,4)</f>
        <v>3</v>
      </c>
      <c r="F24" s="45">
        <f>VLOOKUP($C24,CAPITOLI!$A:$E,5)</f>
        <v>1</v>
      </c>
      <c r="G24" s="49" t="s">
        <v>2</v>
      </c>
      <c r="H24" s="50" t="s">
        <v>3</v>
      </c>
      <c r="I24" s="46" t="str">
        <f>VLOOKUP(H24,QUALIFICHE!A:B,2,TRUE)</f>
        <v>ISTRUTT.DIR.VO </v>
      </c>
      <c r="J24" s="25">
        <f>VLOOKUP(H24,QUALIFICHE!A:J,3)</f>
        <v>25377.76</v>
      </c>
      <c r="K24" s="51">
        <v>0</v>
      </c>
      <c r="L24" s="51">
        <v>917.92</v>
      </c>
      <c r="M24" s="51">
        <v>0</v>
      </c>
      <c r="N24" s="25">
        <f>VLOOKUP($H24,QUALIFICHE!$A:$J,5)</f>
        <v>0</v>
      </c>
      <c r="O24" s="25">
        <f>ROUND((J24+K24+L24+M24)/12,2)</f>
        <v>2191.31</v>
      </c>
      <c r="P24" s="25">
        <f t="shared" si="4"/>
        <v>0</v>
      </c>
      <c r="Q24" s="101">
        <v>0</v>
      </c>
      <c r="R24" s="25">
        <f>VLOOKUP($H24,QUALIFICHE!$A:$J,8)</f>
        <v>0</v>
      </c>
      <c r="S24" s="51">
        <v>0</v>
      </c>
      <c r="T24" s="51">
        <v>0</v>
      </c>
      <c r="U24" s="25">
        <f>VLOOKUP($H24,QUALIFICHE!$A:$J,9)</f>
        <v>59.4</v>
      </c>
      <c r="V24" s="25">
        <f>VLOOKUP($H24,QUALIFICHE!$A:$J,10)</f>
        <v>563.4</v>
      </c>
      <c r="W24" s="25">
        <f>VLOOKUP($H24,QUALIFICHE!$A:$K,11)</f>
        <v>190.32</v>
      </c>
      <c r="X24" s="73">
        <f>J24+K24+L24+N24+O24+P24+Q24+M24+R24+S24+T24+U24+V24+W24</f>
        <v>29300.11</v>
      </c>
      <c r="Y24" s="71">
        <f t="shared" si="0"/>
        <v>29300.11</v>
      </c>
      <c r="Z24" s="71">
        <f>Y24-U24-V24-T24</f>
        <v>28677.309999999998</v>
      </c>
      <c r="AA24" s="25">
        <f>VLOOKUP($H24,QUALIFICHE!$A:$J,7)</f>
        <v>1.3</v>
      </c>
      <c r="AB24" s="72">
        <f t="shared" si="7"/>
        <v>380.90143000000006</v>
      </c>
    </row>
    <row r="25" spans="1:28" s="84" customFormat="1" ht="15" customHeight="1" outlineLevel="1">
      <c r="A25" s="75"/>
      <c r="B25" s="75"/>
      <c r="C25" s="76" t="s">
        <v>367</v>
      </c>
      <c r="D25" s="77"/>
      <c r="E25" s="74"/>
      <c r="F25" s="78"/>
      <c r="G25" s="76"/>
      <c r="H25" s="79"/>
      <c r="I25" s="80"/>
      <c r="J25" s="81">
        <f aca="true" t="shared" si="10" ref="J25:P25">SUBTOTAL(9,J20:J24)</f>
        <v>114739.12999999999</v>
      </c>
      <c r="K25" s="82">
        <f t="shared" si="10"/>
        <v>0</v>
      </c>
      <c r="L25" s="82">
        <f t="shared" si="10"/>
        <v>3526.2400000000002</v>
      </c>
      <c r="M25" s="82">
        <f>SUBTOTAL(9,M20:M24)</f>
        <v>9500</v>
      </c>
      <c r="N25" s="81">
        <f t="shared" si="10"/>
        <v>55.32</v>
      </c>
      <c r="O25" s="81">
        <f t="shared" si="10"/>
        <v>10647.13</v>
      </c>
      <c r="P25" s="81">
        <f t="shared" si="10"/>
        <v>4.61</v>
      </c>
      <c r="Q25" s="102">
        <f aca="true" t="shared" si="11" ref="Q25:X25">SUBTOTAL(9,Q20:Q24)</f>
        <v>0</v>
      </c>
      <c r="R25" s="81">
        <f t="shared" si="11"/>
        <v>0</v>
      </c>
      <c r="S25" s="82">
        <f t="shared" si="11"/>
        <v>0</v>
      </c>
      <c r="T25" s="82">
        <f t="shared" si="11"/>
        <v>0</v>
      </c>
      <c r="U25" s="81">
        <f t="shared" si="11"/>
        <v>275.03999999999996</v>
      </c>
      <c r="V25" s="81">
        <f t="shared" si="11"/>
        <v>2614.6800000000003</v>
      </c>
      <c r="W25" s="81">
        <f t="shared" si="11"/>
        <v>860.52</v>
      </c>
      <c r="X25" s="83">
        <f t="shared" si="11"/>
        <v>142222.66999999998</v>
      </c>
      <c r="Y25" s="83">
        <f>SUBTOTAL(9,Y20:Y24)</f>
        <v>142222.66999999998</v>
      </c>
      <c r="Z25" s="83">
        <f>SUBTOTAL(9,Z20:Z24)</f>
        <v>139332.95</v>
      </c>
      <c r="AA25" s="81"/>
      <c r="AB25" s="83">
        <f>SUBTOTAL(9,AB20:AB24)</f>
        <v>1985.15813</v>
      </c>
    </row>
    <row r="26" spans="1:28" s="15" customFormat="1" ht="15" customHeight="1" outlineLevel="2">
      <c r="A26" s="48">
        <v>1</v>
      </c>
      <c r="B26" s="48" t="s">
        <v>18</v>
      </c>
      <c r="C26" s="49">
        <v>60</v>
      </c>
      <c r="D26" s="43">
        <f>VLOOKUP($C26,CAPITOLI!$A:$E,3)</f>
        <v>1</v>
      </c>
      <c r="E26" s="44">
        <f>VLOOKUP($C26,CAPITOLI!$A:$E,4)</f>
        <v>6</v>
      </c>
      <c r="F26" s="45">
        <f>VLOOKUP($C26,CAPITOLI!$A:$E,5)</f>
        <v>1</v>
      </c>
      <c r="G26" s="49" t="s">
        <v>2</v>
      </c>
      <c r="H26" s="50" t="s">
        <v>332</v>
      </c>
      <c r="I26" s="46" t="str">
        <f>VLOOKUP(H26,QUALIFICHE!A:B,2,TRUE)</f>
        <v>COLLABORATORE</v>
      </c>
      <c r="J26" s="110" t="s">
        <v>484</v>
      </c>
      <c r="K26" s="51">
        <v>0</v>
      </c>
      <c r="L26" s="51">
        <v>0</v>
      </c>
      <c r="M26" s="51">
        <v>0</v>
      </c>
      <c r="N26" s="25">
        <v>0</v>
      </c>
      <c r="O26" s="25">
        <v>0</v>
      </c>
      <c r="P26" s="25">
        <f t="shared" si="4"/>
        <v>0</v>
      </c>
      <c r="Q26" s="101">
        <v>0</v>
      </c>
      <c r="R26" s="25">
        <f>VLOOKUP($H26,QUALIFICHE!$A:$J,8)</f>
        <v>0</v>
      </c>
      <c r="S26" s="51">
        <v>0</v>
      </c>
      <c r="T26" s="51">
        <v>0</v>
      </c>
      <c r="U26" s="25">
        <v>0</v>
      </c>
      <c r="V26" s="25">
        <v>0</v>
      </c>
      <c r="W26" s="25">
        <v>0</v>
      </c>
      <c r="X26" s="73">
        <v>12282</v>
      </c>
      <c r="Y26" s="71">
        <f t="shared" si="0"/>
        <v>12282</v>
      </c>
      <c r="Z26" s="71">
        <f aca="true" t="shared" si="12" ref="Z26:Z31">Y26-U26-V26-T26</f>
        <v>12282</v>
      </c>
      <c r="AA26" s="25">
        <f>VLOOKUP($H26,QUALIFICHE!$A:$J,7)</f>
        <v>1.9</v>
      </c>
      <c r="AB26" s="72">
        <f t="shared" si="7"/>
        <v>233.358</v>
      </c>
    </row>
    <row r="27" spans="1:28" s="15" customFormat="1" ht="15" customHeight="1" outlineLevel="2">
      <c r="A27" s="48">
        <v>2</v>
      </c>
      <c r="B27" s="48" t="s">
        <v>456</v>
      </c>
      <c r="C27" s="49">
        <v>60</v>
      </c>
      <c r="D27" s="43">
        <f>VLOOKUP($C27,CAPITOLI!$A:$E,3)</f>
        <v>1</v>
      </c>
      <c r="E27" s="44">
        <f>VLOOKUP($C27,CAPITOLI!$A:$E,4)</f>
        <v>6</v>
      </c>
      <c r="F27" s="45">
        <f>VLOOKUP($C27,CAPITOLI!$A:$E,5)</f>
        <v>1</v>
      </c>
      <c r="G27" s="49" t="s">
        <v>2</v>
      </c>
      <c r="H27" s="50" t="s">
        <v>88</v>
      </c>
      <c r="I27" s="46" t="str">
        <f>VLOOKUP(H27,QUALIFICHE!A:B,2,TRUE)</f>
        <v>ESECUTORE      </v>
      </c>
      <c r="J27" s="110">
        <v>17244.71</v>
      </c>
      <c r="K27" s="51">
        <v>0</v>
      </c>
      <c r="L27" s="51">
        <v>0</v>
      </c>
      <c r="M27" s="51">
        <v>0</v>
      </c>
      <c r="N27" s="25">
        <f>VLOOKUP($H27,QUALIFICHE!$A:$J,5)</f>
        <v>0</v>
      </c>
      <c r="O27" s="25">
        <f>ROUND((J27+K27+L27+M27)/12,2)</f>
        <v>1437.06</v>
      </c>
      <c r="P27" s="25">
        <f>N27/12</f>
        <v>0</v>
      </c>
      <c r="Q27" s="101">
        <v>0</v>
      </c>
      <c r="R27" s="25">
        <v>64.56</v>
      </c>
      <c r="S27" s="51">
        <v>0</v>
      </c>
      <c r="T27" s="51">
        <v>0</v>
      </c>
      <c r="U27" s="25">
        <v>44.76</v>
      </c>
      <c r="V27" s="25">
        <v>426.96</v>
      </c>
      <c r="W27" s="25">
        <f>VLOOKUP($H27,QUALIFICHE!$A:$K,11)</f>
        <v>129.36</v>
      </c>
      <c r="X27" s="73">
        <f>J27+K27+L27+N27+O27+P27+Q27+M27+R27+S27+T27+U27+V27+W27</f>
        <v>19347.41</v>
      </c>
      <c r="Y27" s="71">
        <f>X27-Q27</f>
        <v>19347.41</v>
      </c>
      <c r="Z27" s="71">
        <f t="shared" si="12"/>
        <v>18875.690000000002</v>
      </c>
      <c r="AA27" s="25">
        <f>VLOOKUP($H27,QUALIFICHE!$A:$J,7)</f>
        <v>1.9</v>
      </c>
      <c r="AB27" s="72">
        <f>Y27*AA27/100</f>
        <v>367.60078999999996</v>
      </c>
    </row>
    <row r="28" spans="1:28" s="15" customFormat="1" ht="15" customHeight="1" outlineLevel="2">
      <c r="A28" s="48">
        <v>3</v>
      </c>
      <c r="B28" s="48" t="s">
        <v>54</v>
      </c>
      <c r="C28" s="49">
        <v>60</v>
      </c>
      <c r="D28" s="43">
        <f>VLOOKUP($C28,CAPITOLI!$A:$E,3)</f>
        <v>1</v>
      </c>
      <c r="E28" s="44">
        <f>VLOOKUP($C28,CAPITOLI!$A:$E,4)</f>
        <v>6</v>
      </c>
      <c r="F28" s="45">
        <f>VLOOKUP($C28,CAPITOLI!$A:$E,5)</f>
        <v>1</v>
      </c>
      <c r="G28" s="49" t="s">
        <v>2</v>
      </c>
      <c r="H28" s="50" t="s">
        <v>333</v>
      </c>
      <c r="I28" s="46" t="str">
        <f>VLOOKUP(H28,QUALIFICHE!A:B,2,TRUE)</f>
        <v>ISTRUTTORE     </v>
      </c>
      <c r="J28" s="110">
        <f>VLOOKUP(H28,QUALIFICHE!A:J,3)</f>
        <v>21901.32</v>
      </c>
      <c r="K28" s="51">
        <v>0</v>
      </c>
      <c r="L28" s="51">
        <v>912.08</v>
      </c>
      <c r="M28" s="51">
        <v>0</v>
      </c>
      <c r="N28" s="25">
        <f>VLOOKUP($H28,QUALIFICHE!$A:$J,5)</f>
        <v>0</v>
      </c>
      <c r="O28" s="25">
        <f>ROUND((J28+K28+L28+M28)/12,2)</f>
        <v>1901.12</v>
      </c>
      <c r="P28" s="25">
        <f>N28/12</f>
        <v>0</v>
      </c>
      <c r="Q28" s="101">
        <v>0</v>
      </c>
      <c r="R28" s="25">
        <f>VLOOKUP($H28,QUALIFICHE!$A:$J,8)</f>
        <v>0</v>
      </c>
      <c r="S28" s="51">
        <v>0</v>
      </c>
      <c r="T28" s="51">
        <v>0</v>
      </c>
      <c r="U28" s="25">
        <f>VLOOKUP($H28,QUALIFICHE!$A:$J,9)</f>
        <v>52.08</v>
      </c>
      <c r="V28" s="25">
        <f>VLOOKUP($H28,QUALIFICHE!$A:$J,10)</f>
        <v>497.52</v>
      </c>
      <c r="W28" s="25">
        <f>VLOOKUP($H28,QUALIFICHE!$A:$K,11)</f>
        <v>164.28</v>
      </c>
      <c r="X28" s="73">
        <f>J28+K28+L28+N28+O28+P28+Q28+M28+R28+S28+T28+U28+V28+W28</f>
        <v>25428.4</v>
      </c>
      <c r="Y28" s="71">
        <f t="shared" si="0"/>
        <v>25428.4</v>
      </c>
      <c r="Z28" s="71">
        <f t="shared" si="12"/>
        <v>24878.8</v>
      </c>
      <c r="AA28" s="25">
        <f>VLOOKUP($H28,QUALIFICHE!$A:$J,7)</f>
        <v>1.3</v>
      </c>
      <c r="AB28" s="72">
        <f>Y28*AA28/100</f>
        <v>330.5692000000001</v>
      </c>
    </row>
    <row r="29" spans="1:28" s="15" customFormat="1" ht="15" customHeight="1" outlineLevel="2">
      <c r="A29" s="48">
        <v>4</v>
      </c>
      <c r="B29" s="48" t="s">
        <v>434</v>
      </c>
      <c r="C29" s="49">
        <v>60</v>
      </c>
      <c r="D29" s="43">
        <f>VLOOKUP($C29,CAPITOLI!$A:$E,3)</f>
        <v>1</v>
      </c>
      <c r="E29" s="44">
        <f>VLOOKUP($C29,CAPITOLI!$A:$E,4)</f>
        <v>6</v>
      </c>
      <c r="F29" s="45">
        <f>VLOOKUP($C29,CAPITOLI!$A:$E,5)</f>
        <v>1</v>
      </c>
      <c r="G29" s="49" t="s">
        <v>2</v>
      </c>
      <c r="H29" s="50" t="s">
        <v>27</v>
      </c>
      <c r="I29" s="46" t="str">
        <f>VLOOKUP(H29,QUALIFICHE!A:B,2,TRUE)</f>
        <v>ISTRUTTORE     </v>
      </c>
      <c r="J29" s="110">
        <f>VLOOKUP(H29,QUALIFICHE!A:J,3)</f>
        <v>19454.15</v>
      </c>
      <c r="K29" s="51">
        <v>0</v>
      </c>
      <c r="L29" s="51">
        <v>0</v>
      </c>
      <c r="M29" s="51">
        <v>0</v>
      </c>
      <c r="N29" s="25">
        <f>VLOOKUP($H29,QUALIFICHE!$A:$J,5)</f>
        <v>0</v>
      </c>
      <c r="O29" s="25">
        <f>ROUND((J29+K29+L29+M29)/12,2)</f>
        <v>1621.18</v>
      </c>
      <c r="P29" s="25">
        <f>N29/12</f>
        <v>0</v>
      </c>
      <c r="Q29" s="101">
        <v>0</v>
      </c>
      <c r="R29" s="25">
        <f>VLOOKUP($H29,QUALIFICHE!$A:$J,8)</f>
        <v>0</v>
      </c>
      <c r="S29" s="51">
        <v>0</v>
      </c>
      <c r="T29" s="51">
        <v>0</v>
      </c>
      <c r="U29" s="25">
        <f>VLOOKUP($H29,QUALIFICHE!$A:$J,9)</f>
        <v>52.08</v>
      </c>
      <c r="V29" s="25">
        <f>VLOOKUP($H29,QUALIFICHE!$A:$J,10)</f>
        <v>497.52</v>
      </c>
      <c r="W29" s="25">
        <f>VLOOKUP($H29,QUALIFICHE!$A:$K,11)</f>
        <v>145.92</v>
      </c>
      <c r="X29" s="73">
        <f>J29+K29+L29+N29+O29+P29+Q29+M29+R29+S29+T29+U29+V29+W29</f>
        <v>21770.850000000002</v>
      </c>
      <c r="Y29" s="71">
        <f>X29-Q29</f>
        <v>21770.850000000002</v>
      </c>
      <c r="Z29" s="71">
        <f t="shared" si="12"/>
        <v>21221.25</v>
      </c>
      <c r="AA29" s="25">
        <f>VLOOKUP($H29,QUALIFICHE!$A:$J,7)</f>
        <v>1.3</v>
      </c>
      <c r="AB29" s="72">
        <f>Y29*AA29/100</f>
        <v>283.02105000000006</v>
      </c>
    </row>
    <row r="30" spans="1:28" s="15" customFormat="1" ht="15" customHeight="1" outlineLevel="2">
      <c r="A30" s="48">
        <v>5</v>
      </c>
      <c r="B30" s="48" t="s">
        <v>435</v>
      </c>
      <c r="C30" s="49">
        <v>60</v>
      </c>
      <c r="D30" s="43">
        <f>VLOOKUP($C30,CAPITOLI!$A:$E,3)</f>
        <v>1</v>
      </c>
      <c r="E30" s="44">
        <f>VLOOKUP($C30,CAPITOLI!$A:$E,4)</f>
        <v>6</v>
      </c>
      <c r="F30" s="45">
        <f>VLOOKUP($C30,CAPITOLI!$A:$E,5)</f>
        <v>1</v>
      </c>
      <c r="G30" s="49" t="s">
        <v>2</v>
      </c>
      <c r="H30" s="50" t="s">
        <v>6</v>
      </c>
      <c r="I30" s="46" t="str">
        <f>VLOOKUP(H30,QUALIFICHE!A:B,2,TRUE)</f>
        <v>FUNZIONARIO</v>
      </c>
      <c r="J30" s="110">
        <f>VLOOKUP(H30,QUALIFICHE!A:J,3)</f>
        <v>24338.14</v>
      </c>
      <c r="K30" s="51">
        <v>0</v>
      </c>
      <c r="L30" s="51">
        <v>0</v>
      </c>
      <c r="M30" s="51">
        <v>11500</v>
      </c>
      <c r="N30" s="25">
        <f>VLOOKUP($H30,QUALIFICHE!$A:$J,5)</f>
        <v>0</v>
      </c>
      <c r="O30" s="25">
        <f>ROUND((J30+K30+L30+M30)/12,2)</f>
        <v>2986.51</v>
      </c>
      <c r="P30" s="25">
        <f>N30/12</f>
        <v>0</v>
      </c>
      <c r="Q30" s="101">
        <v>0</v>
      </c>
      <c r="R30" s="25">
        <f>VLOOKUP($H30,QUALIFICHE!$A:$J,8)</f>
        <v>0</v>
      </c>
      <c r="S30" s="51">
        <v>0</v>
      </c>
      <c r="T30" s="51">
        <v>0</v>
      </c>
      <c r="U30" s="25">
        <f>VLOOKUP($H30,QUALIFICHE!$A:$J,9)</f>
        <v>59.4</v>
      </c>
      <c r="V30" s="25">
        <f>VLOOKUP($H30,QUALIFICHE!$A:$J,10)</f>
        <v>563.4</v>
      </c>
      <c r="W30" s="25">
        <f>VLOOKUP($H30,QUALIFICHE!$A:$K,11)</f>
        <v>182.52</v>
      </c>
      <c r="X30" s="73">
        <f>J30+K30+L30+N30+O30+P30+Q30+M30+R30+S30+T30+U30+V30+W30</f>
        <v>39629.97</v>
      </c>
      <c r="Y30" s="71">
        <f>X30-Q30</f>
        <v>39629.97</v>
      </c>
      <c r="Z30" s="71">
        <f t="shared" si="12"/>
        <v>39007.17</v>
      </c>
      <c r="AA30" s="25">
        <f>VLOOKUP($H30,QUALIFICHE!$A:$J,7)</f>
        <v>1.3</v>
      </c>
      <c r="AB30" s="72">
        <f>Y30*AA30/100</f>
        <v>515.18961</v>
      </c>
    </row>
    <row r="31" spans="1:28" s="15" customFormat="1" ht="15" customHeight="1" outlineLevel="2">
      <c r="A31" s="48">
        <v>6</v>
      </c>
      <c r="B31" s="48" t="s">
        <v>438</v>
      </c>
      <c r="C31" s="49">
        <v>60</v>
      </c>
      <c r="D31" s="43">
        <f>VLOOKUP($C31,CAPITOLI!$A:$E,3)</f>
        <v>1</v>
      </c>
      <c r="E31" s="44">
        <f>VLOOKUP($C31,CAPITOLI!$A:$E,4)</f>
        <v>6</v>
      </c>
      <c r="F31" s="45">
        <f>VLOOKUP($C31,CAPITOLI!$A:$E,5)</f>
        <v>1</v>
      </c>
      <c r="G31" s="49" t="s">
        <v>2</v>
      </c>
      <c r="H31" s="50" t="s">
        <v>10</v>
      </c>
      <c r="I31" s="46" t="str">
        <f>VLOOKUP(H31,QUALIFICHE!A:B,2,TRUE)</f>
        <v>ISTRUTT.DIR.VO </v>
      </c>
      <c r="J31" s="110">
        <f>VLOOKUP(H31,QUALIFICHE!A:J,3)</f>
        <v>21166.71</v>
      </c>
      <c r="K31" s="51">
        <v>0</v>
      </c>
      <c r="L31" s="51">
        <v>0</v>
      </c>
      <c r="M31" s="51">
        <v>0</v>
      </c>
      <c r="N31" s="25">
        <f>VLOOKUP($H31,QUALIFICHE!$A:$J,5)</f>
        <v>0</v>
      </c>
      <c r="O31" s="25">
        <f>ROUND((J31+K31+L31+M31)/12,2)</f>
        <v>1763.89</v>
      </c>
      <c r="P31" s="25">
        <f>N31/12</f>
        <v>0</v>
      </c>
      <c r="Q31" s="103"/>
      <c r="R31" s="25">
        <f>VLOOKUP($H31,QUALIFICHE!$A:$J,8)</f>
        <v>0</v>
      </c>
      <c r="S31" s="51">
        <v>0</v>
      </c>
      <c r="T31" s="51">
        <v>0</v>
      </c>
      <c r="U31" s="25">
        <f>VLOOKUP($H31,QUALIFICHE!$A:$J,9)</f>
        <v>59.4</v>
      </c>
      <c r="V31" s="25">
        <f>VLOOKUP($H31,QUALIFICHE!$A:$J,10)</f>
        <v>563.4</v>
      </c>
      <c r="W31" s="25">
        <f>VLOOKUP($H31,QUALIFICHE!$A:$K,11)</f>
        <v>158.76</v>
      </c>
      <c r="X31" s="73">
        <f>J31+K31+L31+N31+O31+P31+Q31+M31+R31+S31+T31+U31+V31+W31</f>
        <v>23712.16</v>
      </c>
      <c r="Y31" s="71">
        <f>X31-Q31</f>
        <v>23712.16</v>
      </c>
      <c r="Z31" s="71">
        <f t="shared" si="12"/>
        <v>23089.359999999997</v>
      </c>
      <c r="AA31" s="25">
        <f>VLOOKUP($H31,QUALIFICHE!$A:$J,7)</f>
        <v>1.3</v>
      </c>
      <c r="AB31" s="72">
        <f>Y31*AA31/100</f>
        <v>308.25808</v>
      </c>
    </row>
    <row r="32" spans="1:28" s="84" customFormat="1" ht="15" customHeight="1" outlineLevel="1">
      <c r="A32" s="75"/>
      <c r="B32" s="75"/>
      <c r="C32" s="76" t="s">
        <v>368</v>
      </c>
      <c r="D32" s="77"/>
      <c r="E32" s="74"/>
      <c r="F32" s="78"/>
      <c r="G32" s="76"/>
      <c r="H32" s="79"/>
      <c r="I32" s="80"/>
      <c r="J32" s="114">
        <f aca="true" t="shared" si="13" ref="J32:P32">SUBTOTAL(9,J26:J31)</f>
        <v>104105.03</v>
      </c>
      <c r="K32" s="82">
        <f t="shared" si="13"/>
        <v>0</v>
      </c>
      <c r="L32" s="82">
        <f t="shared" si="13"/>
        <v>912.08</v>
      </c>
      <c r="M32" s="82">
        <f>SUBTOTAL(9,M26:M31)</f>
        <v>11500</v>
      </c>
      <c r="N32" s="81">
        <f t="shared" si="13"/>
        <v>0</v>
      </c>
      <c r="O32" s="81">
        <f t="shared" si="13"/>
        <v>9709.76</v>
      </c>
      <c r="P32" s="81">
        <f t="shared" si="13"/>
        <v>0</v>
      </c>
      <c r="Q32" s="104">
        <f aca="true" t="shared" si="14" ref="Q32:X32">SUBTOTAL(9,Q26:Q31)</f>
        <v>0</v>
      </c>
      <c r="R32" s="81">
        <f t="shared" si="14"/>
        <v>64.56</v>
      </c>
      <c r="S32" s="82">
        <f t="shared" si="14"/>
        <v>0</v>
      </c>
      <c r="T32" s="82">
        <f t="shared" si="14"/>
        <v>0</v>
      </c>
      <c r="U32" s="81">
        <f t="shared" si="14"/>
        <v>267.72</v>
      </c>
      <c r="V32" s="81">
        <f t="shared" si="14"/>
        <v>2548.8</v>
      </c>
      <c r="W32" s="81">
        <f t="shared" si="14"/>
        <v>780.8399999999999</v>
      </c>
      <c r="X32" s="83">
        <f t="shared" si="14"/>
        <v>142170.79</v>
      </c>
      <c r="Y32" s="83">
        <f>SUBTOTAL(9,Y26:Y31)</f>
        <v>142170.79</v>
      </c>
      <c r="Z32" s="83">
        <f>SUBTOTAL(9,Z26:Z31)</f>
        <v>139354.27</v>
      </c>
      <c r="AA32" s="81"/>
      <c r="AB32" s="83">
        <f>SUBTOTAL(9,AB26:AB31)</f>
        <v>2037.9967300000003</v>
      </c>
    </row>
    <row r="33" spans="1:28" s="15" customFormat="1" ht="15" customHeight="1" outlineLevel="2">
      <c r="A33" s="48">
        <v>1</v>
      </c>
      <c r="B33" s="48" t="s">
        <v>55</v>
      </c>
      <c r="C33" s="49">
        <v>70</v>
      </c>
      <c r="D33" s="43">
        <f>VLOOKUP($C33,CAPITOLI!$A:$E,3)</f>
        <v>1</v>
      </c>
      <c r="E33" s="44">
        <f>VLOOKUP($C33,CAPITOLI!$A:$E,4)</f>
        <v>2</v>
      </c>
      <c r="F33" s="45">
        <f>VLOOKUP($C33,CAPITOLI!$A:$E,5)</f>
        <v>2</v>
      </c>
      <c r="G33" s="49" t="s">
        <v>2</v>
      </c>
      <c r="H33" s="50" t="s">
        <v>28</v>
      </c>
      <c r="I33" s="46" t="str">
        <f>VLOOKUP(H33,QUALIFICHE!A:B,2,TRUE)</f>
        <v>ISTRUTTORE     </v>
      </c>
      <c r="J33" s="110">
        <f>VLOOKUP(H33,QUALIFICHE!A:J,3)</f>
        <v>21120.11</v>
      </c>
      <c r="K33" s="51">
        <v>0</v>
      </c>
      <c r="L33" s="51">
        <v>0</v>
      </c>
      <c r="M33" s="51">
        <v>0</v>
      </c>
      <c r="N33" s="25">
        <f>VLOOKUP($H33,QUALIFICHE!$A:$J,5)</f>
        <v>0</v>
      </c>
      <c r="O33" s="25">
        <f>ROUND((J33+K33+L33+M33)/12,2)</f>
        <v>1760.01</v>
      </c>
      <c r="P33" s="25">
        <f t="shared" si="4"/>
        <v>0</v>
      </c>
      <c r="Q33" s="101">
        <v>0</v>
      </c>
      <c r="R33" s="25">
        <f>VLOOKUP($H33,QUALIFICHE!$A:$J,8)</f>
        <v>0</v>
      </c>
      <c r="S33" s="51">
        <v>0</v>
      </c>
      <c r="T33" s="51">
        <v>0</v>
      </c>
      <c r="U33" s="25">
        <f>VLOOKUP($H33,QUALIFICHE!$A:$J,9)</f>
        <v>52.08</v>
      </c>
      <c r="V33" s="25">
        <f>VLOOKUP($H33,QUALIFICHE!$A:$J,10)</f>
        <v>497.52</v>
      </c>
      <c r="W33" s="25">
        <f>VLOOKUP($H33,QUALIFICHE!$A:$K,11)</f>
        <v>158.4</v>
      </c>
      <c r="X33" s="73">
        <f>J33+K33+L33+N33+O33+P33+Q33+M33+R33+S33+T33+U33+V33+W33</f>
        <v>23588.120000000003</v>
      </c>
      <c r="Y33" s="71">
        <f aca="true" t="shared" si="15" ref="Y33:Y59">X33-Q33</f>
        <v>23588.120000000003</v>
      </c>
      <c r="Z33" s="71">
        <f>Y33-U33-V33-T33</f>
        <v>23038.52</v>
      </c>
      <c r="AA33" s="25">
        <f>VLOOKUP($H33,QUALIFICHE!$A:$J,7)</f>
        <v>1.3</v>
      </c>
      <c r="AB33" s="72">
        <f t="shared" si="7"/>
        <v>306.64556000000005</v>
      </c>
    </row>
    <row r="34" spans="1:28" s="15" customFormat="1" ht="15" customHeight="1" outlineLevel="2">
      <c r="A34" s="48">
        <v>2</v>
      </c>
      <c r="B34" s="48" t="s">
        <v>56</v>
      </c>
      <c r="C34" s="49">
        <v>70</v>
      </c>
      <c r="D34" s="43">
        <f>VLOOKUP($C34,CAPITOLI!$A:$E,3)</f>
        <v>1</v>
      </c>
      <c r="E34" s="44">
        <f>VLOOKUP($C34,CAPITOLI!$A:$E,4)</f>
        <v>2</v>
      </c>
      <c r="F34" s="45">
        <f>VLOOKUP($C34,CAPITOLI!$A:$E,5)</f>
        <v>2</v>
      </c>
      <c r="G34" s="49" t="s">
        <v>2</v>
      </c>
      <c r="H34" s="50" t="s">
        <v>316</v>
      </c>
      <c r="I34" s="46" t="str">
        <f>VLOOKUP(H34,QUALIFICHE!A:B,2,TRUE)</f>
        <v>ESECUTORE      </v>
      </c>
      <c r="J34" s="110">
        <f>VLOOKUP(H34,QUALIFICHE!A:J,3)</f>
        <v>18808.79</v>
      </c>
      <c r="K34" s="51">
        <v>0</v>
      </c>
      <c r="L34" s="51">
        <v>548.07</v>
      </c>
      <c r="M34" s="51">
        <v>0</v>
      </c>
      <c r="N34" s="25">
        <f>VLOOKUP($H34,QUALIFICHE!$A:$J,5)</f>
        <v>0</v>
      </c>
      <c r="O34" s="25">
        <f>ROUND((J34+K34+L34+M34)/12,2)</f>
        <v>1613.07</v>
      </c>
      <c r="P34" s="25">
        <f t="shared" si="4"/>
        <v>0</v>
      </c>
      <c r="Q34" s="101">
        <v>0</v>
      </c>
      <c r="R34" s="25">
        <f>VLOOKUP($H34,QUALIFICHE!$A:$J,8)</f>
        <v>64.56</v>
      </c>
      <c r="S34" s="51">
        <v>0</v>
      </c>
      <c r="T34" s="51">
        <v>0</v>
      </c>
      <c r="U34" s="25">
        <f>VLOOKUP($H34,QUALIFICHE!$A:$J,9)</f>
        <v>44.76</v>
      </c>
      <c r="V34" s="25">
        <f>VLOOKUP($H34,QUALIFICHE!$A:$J,10)</f>
        <v>426.96</v>
      </c>
      <c r="W34" s="25">
        <f>VLOOKUP($H34,QUALIFICHE!$A:$K,11)</f>
        <v>141.12</v>
      </c>
      <c r="X34" s="73">
        <f>J34+K34+L34+N34+O34+P34+Q34+M34+R34+S34+T34+U34+V34+W34</f>
        <v>21647.329999999998</v>
      </c>
      <c r="Y34" s="71">
        <f t="shared" si="15"/>
        <v>21647.329999999998</v>
      </c>
      <c r="Z34" s="71">
        <f>Y34-U34-V34-T34</f>
        <v>21175.61</v>
      </c>
      <c r="AA34" s="25">
        <f>VLOOKUP($H34,QUALIFICHE!$A:$J,7)</f>
        <v>1.9</v>
      </c>
      <c r="AB34" s="72">
        <f t="shared" si="7"/>
        <v>411.29927</v>
      </c>
    </row>
    <row r="35" spans="1:28" s="84" customFormat="1" ht="15" customHeight="1" outlineLevel="1">
      <c r="A35" s="75"/>
      <c r="B35" s="75"/>
      <c r="C35" s="76" t="s">
        <v>369</v>
      </c>
      <c r="D35" s="77"/>
      <c r="E35" s="74"/>
      <c r="F35" s="78"/>
      <c r="G35" s="76"/>
      <c r="H35" s="79"/>
      <c r="I35" s="80"/>
      <c r="J35" s="114">
        <f aca="true" t="shared" si="16" ref="J35:Z35">SUBTOTAL(9,J33:J34)</f>
        <v>39928.9</v>
      </c>
      <c r="K35" s="82">
        <f t="shared" si="16"/>
        <v>0</v>
      </c>
      <c r="L35" s="82">
        <f t="shared" si="16"/>
        <v>548.07</v>
      </c>
      <c r="M35" s="82">
        <f t="shared" si="16"/>
        <v>0</v>
      </c>
      <c r="N35" s="81">
        <f t="shared" si="16"/>
        <v>0</v>
      </c>
      <c r="O35" s="81">
        <f t="shared" si="16"/>
        <v>3373.08</v>
      </c>
      <c r="P35" s="81">
        <f t="shared" si="16"/>
        <v>0</v>
      </c>
      <c r="Q35" s="104">
        <f t="shared" si="16"/>
        <v>0</v>
      </c>
      <c r="R35" s="81">
        <f t="shared" si="16"/>
        <v>64.56</v>
      </c>
      <c r="S35" s="82">
        <f t="shared" si="16"/>
        <v>0</v>
      </c>
      <c r="T35" s="82">
        <f t="shared" si="16"/>
        <v>0</v>
      </c>
      <c r="U35" s="81">
        <f t="shared" si="16"/>
        <v>96.84</v>
      </c>
      <c r="V35" s="81">
        <f t="shared" si="16"/>
        <v>924.48</v>
      </c>
      <c r="W35" s="81">
        <f t="shared" si="16"/>
        <v>299.52</v>
      </c>
      <c r="X35" s="83">
        <f t="shared" si="16"/>
        <v>45235.45</v>
      </c>
      <c r="Y35" s="83">
        <f t="shared" si="16"/>
        <v>45235.45</v>
      </c>
      <c r="Z35" s="83">
        <f t="shared" si="16"/>
        <v>44214.130000000005</v>
      </c>
      <c r="AA35" s="81"/>
      <c r="AB35" s="83">
        <f>SUBTOTAL(9,AB33:AB34)</f>
        <v>717.94483</v>
      </c>
    </row>
    <row r="36" spans="1:28" s="15" customFormat="1" ht="15" customHeight="1" outlineLevel="2">
      <c r="A36" s="48">
        <v>1</v>
      </c>
      <c r="B36" s="48" t="s">
        <v>11</v>
      </c>
      <c r="C36" s="49">
        <v>80</v>
      </c>
      <c r="D36" s="43">
        <f>VLOOKUP($C36,CAPITOLI!$A:$E,3)</f>
        <v>1</v>
      </c>
      <c r="E36" s="44">
        <f>VLOOKUP($C36,CAPITOLI!$A:$E,4)</f>
        <v>7</v>
      </c>
      <c r="F36" s="45">
        <f>VLOOKUP($C36,CAPITOLI!$A:$E,5)</f>
        <v>1</v>
      </c>
      <c r="G36" s="49" t="s">
        <v>2</v>
      </c>
      <c r="H36" s="50" t="s">
        <v>316</v>
      </c>
      <c r="I36" s="46" t="str">
        <f>VLOOKUP(H36,QUALIFICHE!A:B,2,TRUE)</f>
        <v>ESECUTORE      </v>
      </c>
      <c r="J36" s="110">
        <f>VLOOKUP(H36,QUALIFICHE!A:J,3)</f>
        <v>18808.79</v>
      </c>
      <c r="K36" s="51">
        <v>0</v>
      </c>
      <c r="L36" s="51">
        <v>559.45</v>
      </c>
      <c r="M36" s="51">
        <v>0</v>
      </c>
      <c r="N36" s="25">
        <f>VLOOKUP($H36,QUALIFICHE!$A:$J,5)</f>
        <v>0</v>
      </c>
      <c r="O36" s="25">
        <f aca="true" t="shared" si="17" ref="O36:O42">ROUND((J36+K36+L36+M36)/12,2)</f>
        <v>1614.02</v>
      </c>
      <c r="P36" s="25">
        <f t="shared" si="4"/>
        <v>0</v>
      </c>
      <c r="Q36" s="103">
        <v>537.96</v>
      </c>
      <c r="R36" s="25">
        <f>VLOOKUP($H36,QUALIFICHE!$A:$J,8)</f>
        <v>64.56</v>
      </c>
      <c r="S36" s="51">
        <v>0</v>
      </c>
      <c r="T36" s="51">
        <v>0</v>
      </c>
      <c r="U36" s="25">
        <f>VLOOKUP($H36,QUALIFICHE!$A:$J,9)</f>
        <v>44.76</v>
      </c>
      <c r="V36" s="25">
        <f>VLOOKUP($H36,QUALIFICHE!$A:$J,10)</f>
        <v>426.96</v>
      </c>
      <c r="W36" s="25">
        <f>VLOOKUP($H36,QUALIFICHE!$A:$K,11)</f>
        <v>141.12</v>
      </c>
      <c r="X36" s="73">
        <f aca="true" t="shared" si="18" ref="X36:X42">J36+K36+L36+N36+O36+P36+Q36+M36+R36+S36+T36+U36+V36+W36</f>
        <v>22197.62</v>
      </c>
      <c r="Y36" s="71">
        <f t="shared" si="15"/>
        <v>21659.66</v>
      </c>
      <c r="Z36" s="71">
        <f aca="true" t="shared" si="19" ref="Z36:Z42">Y36-U36-V36-T36</f>
        <v>21187.940000000002</v>
      </c>
      <c r="AA36" s="25">
        <f>VLOOKUP($H36,QUALIFICHE!$A:$J,7)</f>
        <v>1.9</v>
      </c>
      <c r="AB36" s="72">
        <f t="shared" si="7"/>
        <v>411.53354</v>
      </c>
    </row>
    <row r="37" spans="1:28" s="15" customFormat="1" ht="15" customHeight="1" outlineLevel="2">
      <c r="A37" s="48">
        <v>2</v>
      </c>
      <c r="B37" s="48" t="s">
        <v>19</v>
      </c>
      <c r="C37" s="49">
        <v>80</v>
      </c>
      <c r="D37" s="43">
        <f>VLOOKUP($C37,CAPITOLI!$A:$E,3)</f>
        <v>1</v>
      </c>
      <c r="E37" s="44">
        <f>VLOOKUP($C37,CAPITOLI!$A:$E,4)</f>
        <v>7</v>
      </c>
      <c r="F37" s="45">
        <f>VLOOKUP($C37,CAPITOLI!$A:$E,5)</f>
        <v>1</v>
      </c>
      <c r="G37" s="49" t="s">
        <v>2</v>
      </c>
      <c r="H37" s="50" t="s">
        <v>332</v>
      </c>
      <c r="I37" s="46" t="str">
        <f>VLOOKUP(H37,QUALIFICHE!A:B,2,TRUE)</f>
        <v>COLLABORATORE</v>
      </c>
      <c r="J37" s="110">
        <f>VLOOKUP(H37,QUALIFICHE!A:J,3)</f>
        <v>19878.4</v>
      </c>
      <c r="K37" s="51">
        <v>0</v>
      </c>
      <c r="L37" s="51">
        <v>446.08</v>
      </c>
      <c r="M37" s="51">
        <v>0</v>
      </c>
      <c r="N37" s="25">
        <f>VLOOKUP($H37,QUALIFICHE!$A:$J,5)</f>
        <v>55.32</v>
      </c>
      <c r="O37" s="25">
        <f t="shared" si="17"/>
        <v>1693.71</v>
      </c>
      <c r="P37" s="25">
        <f t="shared" si="4"/>
        <v>4.61</v>
      </c>
      <c r="Q37" s="103">
        <v>2020.08</v>
      </c>
      <c r="R37" s="25">
        <f>VLOOKUP($H37,QUALIFICHE!$A:$J,8)</f>
        <v>0</v>
      </c>
      <c r="S37" s="51">
        <v>0</v>
      </c>
      <c r="T37" s="51">
        <v>0</v>
      </c>
      <c r="U37" s="25">
        <f>VLOOKUP($H37,QUALIFICHE!$A:$J,9)</f>
        <v>44.76</v>
      </c>
      <c r="V37" s="25">
        <f>VLOOKUP($H37,QUALIFICHE!$A:$J,10)</f>
        <v>426.96</v>
      </c>
      <c r="W37" s="25">
        <f>VLOOKUP($H37,QUALIFICHE!$A:$K,11)</f>
        <v>149.04</v>
      </c>
      <c r="X37" s="73">
        <f t="shared" si="18"/>
        <v>24718.960000000003</v>
      </c>
      <c r="Y37" s="71">
        <f t="shared" si="15"/>
        <v>22698.880000000005</v>
      </c>
      <c r="Z37" s="71">
        <f t="shared" si="19"/>
        <v>22227.160000000007</v>
      </c>
      <c r="AA37" s="25">
        <f>VLOOKUP($H37,QUALIFICHE!$A:$J,7)</f>
        <v>1.9</v>
      </c>
      <c r="AB37" s="72">
        <f t="shared" si="7"/>
        <v>431.2787200000001</v>
      </c>
    </row>
    <row r="38" spans="1:28" s="15" customFormat="1" ht="15" customHeight="1" outlineLevel="2">
      <c r="A38" s="48">
        <v>3</v>
      </c>
      <c r="B38" s="48" t="s">
        <v>459</v>
      </c>
      <c r="C38" s="49">
        <v>80</v>
      </c>
      <c r="D38" s="43">
        <f>VLOOKUP($C38,CAPITOLI!$A:$E,3)</f>
        <v>1</v>
      </c>
      <c r="E38" s="44">
        <f>VLOOKUP($C38,CAPITOLI!$A:$E,4)</f>
        <v>7</v>
      </c>
      <c r="F38" s="45">
        <f>VLOOKUP($C38,CAPITOLI!$A:$E,5)</f>
        <v>1</v>
      </c>
      <c r="G38" s="49" t="s">
        <v>2</v>
      </c>
      <c r="H38" s="50" t="s">
        <v>328</v>
      </c>
      <c r="I38" s="46" t="str">
        <f>VLOOKUP(H38,QUALIFICHE!A:B,2,TRUE)</f>
        <v>ISTRUTT.DIR.VO </v>
      </c>
      <c r="J38" s="110">
        <f>VLOOKUP(H38,QUALIFICHE!A:J,3)</f>
        <v>26510.86</v>
      </c>
      <c r="K38" s="51">
        <v>0</v>
      </c>
      <c r="L38" s="51">
        <v>755.29</v>
      </c>
      <c r="M38" s="51">
        <v>0</v>
      </c>
      <c r="N38" s="25">
        <f>VLOOKUP($H38,QUALIFICHE!$A:$J,5)</f>
        <v>0</v>
      </c>
      <c r="O38" s="25">
        <f t="shared" si="17"/>
        <v>2272.18</v>
      </c>
      <c r="P38" s="25">
        <f>N38/12</f>
        <v>0</v>
      </c>
      <c r="Q38" s="103">
        <v>339.48</v>
      </c>
      <c r="R38" s="25">
        <f>VLOOKUP($H38,QUALIFICHE!$A:$J,8)</f>
        <v>0</v>
      </c>
      <c r="S38" s="51">
        <v>0</v>
      </c>
      <c r="T38" s="51">
        <v>0</v>
      </c>
      <c r="U38" s="25">
        <f>VLOOKUP($H38,QUALIFICHE!$A:$J,9)</f>
        <v>59.4</v>
      </c>
      <c r="V38" s="25">
        <f>VLOOKUP($H38,QUALIFICHE!$A:$J,10)</f>
        <v>563.4</v>
      </c>
      <c r="W38" s="25">
        <f>VLOOKUP($H38,QUALIFICHE!$A:$K,11)</f>
        <v>198.84</v>
      </c>
      <c r="X38" s="73">
        <f t="shared" si="18"/>
        <v>30699.450000000004</v>
      </c>
      <c r="Y38" s="71">
        <f>X38-Q38</f>
        <v>30359.970000000005</v>
      </c>
      <c r="Z38" s="71">
        <f t="shared" si="19"/>
        <v>29737.170000000002</v>
      </c>
      <c r="AA38" s="25">
        <f>VLOOKUP($H38,QUALIFICHE!$A:$J,7)</f>
        <v>1.3</v>
      </c>
      <c r="AB38" s="72">
        <f>Y38*AA38/100</f>
        <v>394.6796100000001</v>
      </c>
    </row>
    <row r="39" spans="1:28" s="15" customFormat="1" ht="15" customHeight="1" outlineLevel="2">
      <c r="A39" s="48">
        <v>4</v>
      </c>
      <c r="B39" s="48" t="s">
        <v>14</v>
      </c>
      <c r="C39" s="49">
        <v>80</v>
      </c>
      <c r="D39" s="43">
        <f>VLOOKUP($C39,CAPITOLI!$A:$E,3)</f>
        <v>1</v>
      </c>
      <c r="E39" s="44">
        <f>VLOOKUP($C39,CAPITOLI!$A:$E,4)</f>
        <v>7</v>
      </c>
      <c r="F39" s="45">
        <f>VLOOKUP($C39,CAPITOLI!$A:$E,5)</f>
        <v>1</v>
      </c>
      <c r="G39" s="49" t="s">
        <v>2</v>
      </c>
      <c r="H39" s="50" t="s">
        <v>316</v>
      </c>
      <c r="I39" s="46" t="str">
        <f>VLOOKUP(H39,QUALIFICHE!A:B,2,TRUE)</f>
        <v>ESECUTORE      </v>
      </c>
      <c r="J39" s="110">
        <f>VLOOKUP(H39,QUALIFICHE!A:J,3)</f>
        <v>18808.79</v>
      </c>
      <c r="K39" s="51">
        <v>0</v>
      </c>
      <c r="L39" s="51">
        <v>532.45</v>
      </c>
      <c r="M39" s="51">
        <v>0</v>
      </c>
      <c r="N39" s="25">
        <f>VLOOKUP($H39,QUALIFICHE!$A:$J,5)</f>
        <v>0</v>
      </c>
      <c r="O39" s="25">
        <f t="shared" si="17"/>
        <v>1611.77</v>
      </c>
      <c r="P39" s="25">
        <f>N39/12</f>
        <v>0</v>
      </c>
      <c r="Q39" s="101">
        <v>0</v>
      </c>
      <c r="R39" s="25">
        <f>VLOOKUP($H39,QUALIFICHE!$A:$J,8)</f>
        <v>64.56</v>
      </c>
      <c r="S39" s="51">
        <v>0</v>
      </c>
      <c r="T39" s="51">
        <v>0</v>
      </c>
      <c r="U39" s="25">
        <f>VLOOKUP($H39,QUALIFICHE!$A:$J,9)</f>
        <v>44.76</v>
      </c>
      <c r="V39" s="25">
        <f>VLOOKUP($H39,QUALIFICHE!$A:$J,10)</f>
        <v>426.96</v>
      </c>
      <c r="W39" s="25">
        <f>VLOOKUP($H39,QUALIFICHE!$A:$K,11)</f>
        <v>141.12</v>
      </c>
      <c r="X39" s="73">
        <f t="shared" si="18"/>
        <v>21630.41</v>
      </c>
      <c r="Y39" s="71">
        <f>X39-Q39</f>
        <v>21630.41</v>
      </c>
      <c r="Z39" s="71">
        <f t="shared" si="19"/>
        <v>21158.690000000002</v>
      </c>
      <c r="AA39" s="25">
        <f>VLOOKUP($H39,QUALIFICHE!$A:$J,7)</f>
        <v>1.9</v>
      </c>
      <c r="AB39" s="72">
        <f>Y39*AA39/100</f>
        <v>410.97778999999997</v>
      </c>
    </row>
    <row r="40" spans="1:28" s="15" customFormat="1" ht="15" customHeight="1" outlineLevel="2">
      <c r="A40" s="48">
        <v>5</v>
      </c>
      <c r="B40" s="48" t="s">
        <v>38</v>
      </c>
      <c r="C40" s="49">
        <v>80</v>
      </c>
      <c r="D40" s="43">
        <f>VLOOKUP($C40,CAPITOLI!$A:$E,3)</f>
        <v>1</v>
      </c>
      <c r="E40" s="44">
        <f>VLOOKUP($C40,CAPITOLI!$A:$E,4)</f>
        <v>7</v>
      </c>
      <c r="F40" s="45">
        <f>VLOOKUP($C40,CAPITOLI!$A:$E,5)</f>
        <v>1</v>
      </c>
      <c r="G40" s="49" t="s">
        <v>2</v>
      </c>
      <c r="H40" s="50" t="s">
        <v>28</v>
      </c>
      <c r="I40" s="46" t="str">
        <f>VLOOKUP(H40,QUALIFICHE!A:B,2,TRUE)</f>
        <v>ISTRUTTORE     </v>
      </c>
      <c r="J40" s="110">
        <f>VLOOKUP(H40,QUALIFICHE!A:J,3)</f>
        <v>21120.11</v>
      </c>
      <c r="K40" s="51">
        <v>0</v>
      </c>
      <c r="L40" s="51">
        <v>0</v>
      </c>
      <c r="M40" s="51">
        <v>0</v>
      </c>
      <c r="N40" s="25">
        <f>VLOOKUP($H40,QUALIFICHE!$A:$J,5)</f>
        <v>0</v>
      </c>
      <c r="O40" s="25">
        <f t="shared" si="17"/>
        <v>1760.01</v>
      </c>
      <c r="P40" s="25">
        <f>N40/12</f>
        <v>0</v>
      </c>
      <c r="Q40" s="101">
        <v>0</v>
      </c>
      <c r="R40" s="25">
        <f>VLOOKUP($H40,QUALIFICHE!$A:$J,8)</f>
        <v>0</v>
      </c>
      <c r="S40" s="51">
        <v>0</v>
      </c>
      <c r="T40" s="51">
        <v>0</v>
      </c>
      <c r="U40" s="25">
        <f>VLOOKUP($H40,QUALIFICHE!$A:$J,9)</f>
        <v>52.08</v>
      </c>
      <c r="V40" s="25">
        <f>VLOOKUP($H40,QUALIFICHE!$A:$J,10)</f>
        <v>497.52</v>
      </c>
      <c r="W40" s="25">
        <f>VLOOKUP($H40,QUALIFICHE!$A:$K,11)</f>
        <v>158.4</v>
      </c>
      <c r="X40" s="73">
        <f t="shared" si="18"/>
        <v>23588.120000000003</v>
      </c>
      <c r="Y40" s="71">
        <f>X40-Q40</f>
        <v>23588.120000000003</v>
      </c>
      <c r="Z40" s="71">
        <f t="shared" si="19"/>
        <v>23038.52</v>
      </c>
      <c r="AA40" s="25">
        <f>VLOOKUP($H40,QUALIFICHE!$A:$J,7)</f>
        <v>1.3</v>
      </c>
      <c r="AB40" s="72">
        <f>Y40*AA40/100</f>
        <v>306.64556000000005</v>
      </c>
    </row>
    <row r="41" spans="1:28" s="15" customFormat="1" ht="15" customHeight="1" outlineLevel="2">
      <c r="A41" s="48">
        <v>6</v>
      </c>
      <c r="B41" s="48" t="s">
        <v>85</v>
      </c>
      <c r="C41" s="49">
        <v>80</v>
      </c>
      <c r="D41" s="43">
        <f>VLOOKUP($C41,CAPITOLI!$A:$E,3)</f>
        <v>1</v>
      </c>
      <c r="E41" s="44">
        <f>VLOOKUP($C41,CAPITOLI!$A:$E,4)</f>
        <v>7</v>
      </c>
      <c r="F41" s="45">
        <f>VLOOKUP($C41,CAPITOLI!$A:$E,5)</f>
        <v>1</v>
      </c>
      <c r="G41" s="49" t="s">
        <v>2</v>
      </c>
      <c r="H41" s="50" t="s">
        <v>333</v>
      </c>
      <c r="I41" s="46" t="str">
        <f>VLOOKUP(H41,QUALIFICHE!A:B,2,TRUE)</f>
        <v>ISTRUTTORE     </v>
      </c>
      <c r="J41" s="110">
        <f>VLOOKUP(H41,QUALIFICHE!A:J,3)</f>
        <v>21901.32</v>
      </c>
      <c r="K41" s="51">
        <v>0</v>
      </c>
      <c r="L41" s="51">
        <v>875.85</v>
      </c>
      <c r="M41" s="51">
        <v>0</v>
      </c>
      <c r="N41" s="25">
        <f>VLOOKUP($H41,QUALIFICHE!$A:$J,5)</f>
        <v>0</v>
      </c>
      <c r="O41" s="25">
        <f t="shared" si="17"/>
        <v>1898.1</v>
      </c>
      <c r="P41" s="25">
        <f>N41/12</f>
        <v>0</v>
      </c>
      <c r="Q41" s="101">
        <v>0</v>
      </c>
      <c r="R41" s="25">
        <f>VLOOKUP($H41,QUALIFICHE!$A:$J,8)</f>
        <v>0</v>
      </c>
      <c r="S41" s="51">
        <v>0</v>
      </c>
      <c r="T41" s="51">
        <v>0</v>
      </c>
      <c r="U41" s="25">
        <f>VLOOKUP($H41,QUALIFICHE!$A:$J,9)</f>
        <v>52.08</v>
      </c>
      <c r="V41" s="25">
        <f>VLOOKUP($H41,QUALIFICHE!$A:$J,10)</f>
        <v>497.52</v>
      </c>
      <c r="W41" s="25">
        <f>VLOOKUP($H41,QUALIFICHE!$A:$K,11)</f>
        <v>164.28</v>
      </c>
      <c r="X41" s="73">
        <f t="shared" si="18"/>
        <v>25389.149999999998</v>
      </c>
      <c r="Y41" s="71">
        <f>X41-Q41</f>
        <v>25389.149999999998</v>
      </c>
      <c r="Z41" s="71">
        <f t="shared" si="19"/>
        <v>24839.549999999996</v>
      </c>
      <c r="AA41" s="25">
        <f>VLOOKUP($H41,QUALIFICHE!$A:$J,7)</f>
        <v>1.3</v>
      </c>
      <c r="AB41" s="72">
        <f>Y41*AA41/100</f>
        <v>330.05895</v>
      </c>
    </row>
    <row r="42" spans="1:28" s="15" customFormat="1" ht="15" customHeight="1" outlineLevel="2">
      <c r="A42" s="48">
        <v>7</v>
      </c>
      <c r="B42" s="48" t="s">
        <v>16</v>
      </c>
      <c r="C42" s="49">
        <v>80</v>
      </c>
      <c r="D42" s="43">
        <f>VLOOKUP($C42,CAPITOLI!$A:$E,3)</f>
        <v>1</v>
      </c>
      <c r="E42" s="44">
        <f>VLOOKUP($C42,CAPITOLI!$A:$E,4)</f>
        <v>7</v>
      </c>
      <c r="F42" s="45">
        <f>VLOOKUP($C42,CAPITOLI!$A:$E,5)</f>
        <v>1</v>
      </c>
      <c r="G42" s="49" t="s">
        <v>2</v>
      </c>
      <c r="H42" s="50" t="s">
        <v>31</v>
      </c>
      <c r="I42" s="46" t="str">
        <f>VLOOKUP(H42,QUALIFICHE!A:B,2,TRUE)</f>
        <v>COLLABORATORE</v>
      </c>
      <c r="J42" s="110">
        <f>VLOOKUP(H42,QUALIFICHE!A:J,3)</f>
        <v>18808.79</v>
      </c>
      <c r="K42" s="51">
        <v>0</v>
      </c>
      <c r="L42" s="51">
        <v>548.65</v>
      </c>
      <c r="M42" s="51">
        <v>0</v>
      </c>
      <c r="N42" s="25">
        <v>0</v>
      </c>
      <c r="O42" s="25">
        <f t="shared" si="17"/>
        <v>1613.12</v>
      </c>
      <c r="P42" s="25">
        <f>N42/12</f>
        <v>0</v>
      </c>
      <c r="Q42" s="101">
        <v>0</v>
      </c>
      <c r="R42" s="25">
        <f>VLOOKUP($H42,QUALIFICHE!$A:$J,8)</f>
        <v>0</v>
      </c>
      <c r="S42" s="51">
        <v>0</v>
      </c>
      <c r="T42" s="51">
        <v>0</v>
      </c>
      <c r="U42" s="25">
        <f>VLOOKUP($H42,QUALIFICHE!$A:$J,9)</f>
        <v>44.76</v>
      </c>
      <c r="V42" s="25">
        <f>VLOOKUP($H42,QUALIFICHE!$A:$J,10)</f>
        <v>426.96</v>
      </c>
      <c r="W42" s="25">
        <f>VLOOKUP($H42,QUALIFICHE!$A:$K,11)</f>
        <v>141.12</v>
      </c>
      <c r="X42" s="73">
        <f t="shared" si="18"/>
        <v>21583.399999999998</v>
      </c>
      <c r="Y42" s="71">
        <f>X42-Q42</f>
        <v>21583.399999999998</v>
      </c>
      <c r="Z42" s="71">
        <f t="shared" si="19"/>
        <v>21111.68</v>
      </c>
      <c r="AA42" s="25">
        <f>VLOOKUP($H42,QUALIFICHE!$A:$J,7)</f>
        <v>1.9</v>
      </c>
      <c r="AB42" s="72">
        <f>Y42*AA42/100</f>
        <v>410.0845999999999</v>
      </c>
    </row>
    <row r="43" spans="1:28" s="84" customFormat="1" ht="15" customHeight="1" outlineLevel="1">
      <c r="A43" s="75"/>
      <c r="B43" s="75"/>
      <c r="C43" s="76" t="s">
        <v>370</v>
      </c>
      <c r="D43" s="77"/>
      <c r="E43" s="74"/>
      <c r="F43" s="78"/>
      <c r="G43" s="76"/>
      <c r="H43" s="79"/>
      <c r="I43" s="80"/>
      <c r="J43" s="81">
        <f aca="true" t="shared" si="20" ref="J43:Z43">SUBTOTAL(9,J36:J42)</f>
        <v>145837.06</v>
      </c>
      <c r="K43" s="82">
        <f t="shared" si="20"/>
        <v>0</v>
      </c>
      <c r="L43" s="82">
        <f t="shared" si="20"/>
        <v>3717.77</v>
      </c>
      <c r="M43" s="82">
        <f t="shared" si="20"/>
        <v>0</v>
      </c>
      <c r="N43" s="81">
        <f t="shared" si="20"/>
        <v>55.32</v>
      </c>
      <c r="O43" s="81">
        <f t="shared" si="20"/>
        <v>12462.91</v>
      </c>
      <c r="P43" s="81">
        <f t="shared" si="20"/>
        <v>4.61</v>
      </c>
      <c r="Q43" s="104">
        <f t="shared" si="20"/>
        <v>2897.52</v>
      </c>
      <c r="R43" s="81">
        <f t="shared" si="20"/>
        <v>129.12</v>
      </c>
      <c r="S43" s="82">
        <f t="shared" si="20"/>
        <v>0</v>
      </c>
      <c r="T43" s="82">
        <f t="shared" si="20"/>
        <v>0</v>
      </c>
      <c r="U43" s="81">
        <f t="shared" si="20"/>
        <v>342.59999999999997</v>
      </c>
      <c r="V43" s="81">
        <f t="shared" si="20"/>
        <v>3266.28</v>
      </c>
      <c r="W43" s="81">
        <f t="shared" si="20"/>
        <v>1093.92</v>
      </c>
      <c r="X43" s="83">
        <f t="shared" si="20"/>
        <v>169807.11</v>
      </c>
      <c r="Y43" s="83">
        <f t="shared" si="20"/>
        <v>166909.59</v>
      </c>
      <c r="Z43" s="83">
        <f t="shared" si="20"/>
        <v>163300.71</v>
      </c>
      <c r="AA43" s="81"/>
      <c r="AB43" s="83">
        <f>SUBTOTAL(9,AB36:AB42)</f>
        <v>2695.2587700000004</v>
      </c>
    </row>
    <row r="44" spans="1:28" s="15" customFormat="1" ht="15" customHeight="1" outlineLevel="2">
      <c r="A44" s="48">
        <v>1</v>
      </c>
      <c r="B44" s="48" t="s">
        <v>87</v>
      </c>
      <c r="C44" s="49">
        <v>120</v>
      </c>
      <c r="D44" s="43">
        <f>VLOOKUP($C44,CAPITOLI!$A:$E,3)</f>
        <v>1</v>
      </c>
      <c r="E44" s="44">
        <f>VLOOKUP($C44,CAPITOLI!$A:$E,4)</f>
        <v>4</v>
      </c>
      <c r="F44" s="45">
        <f>VLOOKUP($C44,CAPITOLI!$A:$E,5)</f>
        <v>1</v>
      </c>
      <c r="G44" s="49" t="s">
        <v>2</v>
      </c>
      <c r="H44" s="50" t="s">
        <v>8</v>
      </c>
      <c r="I44" s="46" t="str">
        <f>VLOOKUP(H44,QUALIFICHE!A:B,2,TRUE)</f>
        <v>ESECUTORE      </v>
      </c>
      <c r="J44" s="25">
        <f>VLOOKUP(H44,QUALIFICHE!A:J,3)</f>
        <v>18496.61</v>
      </c>
      <c r="K44" s="51">
        <v>0</v>
      </c>
      <c r="L44" s="51">
        <v>251.77</v>
      </c>
      <c r="M44" s="51">
        <v>0</v>
      </c>
      <c r="N44" s="25">
        <f>VLOOKUP($H44,QUALIFICHE!$A:$J,5)</f>
        <v>0</v>
      </c>
      <c r="O44" s="25">
        <f>ROUND((J44+K44+L44+M44)/12,2)</f>
        <v>1562.37</v>
      </c>
      <c r="P44" s="25">
        <f t="shared" si="4"/>
        <v>0</v>
      </c>
      <c r="Q44" s="101">
        <v>0</v>
      </c>
      <c r="R44" s="25">
        <f>VLOOKUP($H44,QUALIFICHE!$A:$J,8)</f>
        <v>64.56</v>
      </c>
      <c r="S44" s="51">
        <v>0</v>
      </c>
      <c r="T44" s="51">
        <v>0</v>
      </c>
      <c r="U44" s="25">
        <f>VLOOKUP($H44,QUALIFICHE!$A:$J,9)</f>
        <v>44.76</v>
      </c>
      <c r="V44" s="25">
        <f>VLOOKUP($H44,QUALIFICHE!$A:$J,10)</f>
        <v>426.96</v>
      </c>
      <c r="W44" s="25">
        <f>VLOOKUP($H44,QUALIFICHE!$A:$K,11)</f>
        <v>138.72</v>
      </c>
      <c r="X44" s="73">
        <f>J44+K44+L44+N44+O44+P44+Q44+M44+R44+S44+T44+U44+V44+W44</f>
        <v>20985.75</v>
      </c>
      <c r="Y44" s="71">
        <f t="shared" si="15"/>
        <v>20985.75</v>
      </c>
      <c r="Z44" s="71">
        <f>Y44-U44-V44-T44</f>
        <v>20514.030000000002</v>
      </c>
      <c r="AA44" s="25">
        <f>VLOOKUP($H44,QUALIFICHE!$A:$J,7)</f>
        <v>1.9</v>
      </c>
      <c r="AB44" s="72">
        <f t="shared" si="7"/>
        <v>398.72925</v>
      </c>
    </row>
    <row r="45" spans="1:28" s="15" customFormat="1" ht="15" customHeight="1" outlineLevel="2">
      <c r="A45" s="48">
        <v>2</v>
      </c>
      <c r="B45" s="48" t="s">
        <v>29</v>
      </c>
      <c r="C45" s="49">
        <v>120</v>
      </c>
      <c r="D45" s="43">
        <f>VLOOKUP($C45,CAPITOLI!$A:$E,3)</f>
        <v>1</v>
      </c>
      <c r="E45" s="44">
        <f>VLOOKUP($C45,CAPITOLI!$A:$E,4)</f>
        <v>4</v>
      </c>
      <c r="F45" s="45">
        <f>VLOOKUP($C45,CAPITOLI!$A:$E,5)</f>
        <v>1</v>
      </c>
      <c r="G45" s="49" t="s">
        <v>2</v>
      </c>
      <c r="H45" s="50" t="s">
        <v>333</v>
      </c>
      <c r="I45" s="46" t="str">
        <f>VLOOKUP(H45,QUALIFICHE!A:B,2,TRUE)</f>
        <v>ISTRUTTORE     </v>
      </c>
      <c r="J45" s="25">
        <f>VLOOKUP(H45,QUALIFICHE!A:J,3)</f>
        <v>21901.32</v>
      </c>
      <c r="K45" s="51">
        <v>0</v>
      </c>
      <c r="L45" s="51">
        <v>347.96</v>
      </c>
      <c r="M45" s="51">
        <v>0</v>
      </c>
      <c r="N45" s="25">
        <f>VLOOKUP($H45,QUALIFICHE!$A:$J,5)</f>
        <v>0</v>
      </c>
      <c r="O45" s="25">
        <f>ROUND((J45+K45+L45+M45)/12,2)</f>
        <v>1854.11</v>
      </c>
      <c r="P45" s="25">
        <f t="shared" si="4"/>
        <v>0</v>
      </c>
      <c r="Q45" s="101">
        <v>0</v>
      </c>
      <c r="R45" s="25">
        <f>VLOOKUP($H45,QUALIFICHE!$A:$J,8)</f>
        <v>0</v>
      </c>
      <c r="S45" s="51">
        <v>0</v>
      </c>
      <c r="T45" s="51">
        <v>0</v>
      </c>
      <c r="U45" s="25">
        <f>VLOOKUP($H45,QUALIFICHE!$A:$J,9)</f>
        <v>52.08</v>
      </c>
      <c r="V45" s="25">
        <f>VLOOKUP($H45,QUALIFICHE!$A:$J,10)</f>
        <v>497.52</v>
      </c>
      <c r="W45" s="25">
        <f>VLOOKUP($H45,QUALIFICHE!$A:$K,11)</f>
        <v>164.28</v>
      </c>
      <c r="X45" s="73">
        <f>J45+K45+L45+N45+O45+P45+Q45+M45+R45+S45+T45+U45+V45+W45</f>
        <v>24817.27</v>
      </c>
      <c r="Y45" s="71">
        <f t="shared" si="15"/>
        <v>24817.27</v>
      </c>
      <c r="Z45" s="71">
        <f>Y45-U45-V45-T45</f>
        <v>24267.67</v>
      </c>
      <c r="AA45" s="25">
        <f>VLOOKUP($H45,QUALIFICHE!$A:$J,7)</f>
        <v>1.3</v>
      </c>
      <c r="AB45" s="72">
        <f t="shared" si="7"/>
        <v>322.62451</v>
      </c>
    </row>
    <row r="46" spans="1:28" s="15" customFormat="1" ht="15" customHeight="1" outlineLevel="2">
      <c r="A46" s="48">
        <v>3</v>
      </c>
      <c r="B46" s="48" t="s">
        <v>76</v>
      </c>
      <c r="C46" s="49">
        <v>120</v>
      </c>
      <c r="D46" s="43">
        <f>VLOOKUP($C46,CAPITOLI!$A:$E,3)</f>
        <v>1</v>
      </c>
      <c r="E46" s="44">
        <f>VLOOKUP($C46,CAPITOLI!$A:$E,4)</f>
        <v>4</v>
      </c>
      <c r="F46" s="45">
        <f>VLOOKUP($C46,CAPITOLI!$A:$E,5)</f>
        <v>1</v>
      </c>
      <c r="G46" s="49" t="s">
        <v>2</v>
      </c>
      <c r="H46" s="50" t="s">
        <v>28</v>
      </c>
      <c r="I46" s="46" t="str">
        <f>VLOOKUP(H46,QUALIFICHE!A:B,2,TRUE)</f>
        <v>ISTRUTTORE     </v>
      </c>
      <c r="J46" s="25">
        <f>VLOOKUP(H46,QUALIFICHE!A:J,3)</f>
        <v>21120.11</v>
      </c>
      <c r="K46" s="51">
        <v>0</v>
      </c>
      <c r="L46" s="51">
        <v>698.74</v>
      </c>
      <c r="M46" s="51">
        <v>0</v>
      </c>
      <c r="N46" s="25">
        <f>VLOOKUP($H46,QUALIFICHE!$A:$J,5)</f>
        <v>0</v>
      </c>
      <c r="O46" s="25">
        <f>ROUND((J46+K46+L46+M46)/12,2)</f>
        <v>1818.24</v>
      </c>
      <c r="P46" s="25">
        <f t="shared" si="4"/>
        <v>0</v>
      </c>
      <c r="Q46" s="101">
        <v>0</v>
      </c>
      <c r="R46" s="25">
        <f>VLOOKUP($H46,QUALIFICHE!$A:$J,8)</f>
        <v>0</v>
      </c>
      <c r="S46" s="51">
        <v>0</v>
      </c>
      <c r="T46" s="51">
        <v>0</v>
      </c>
      <c r="U46" s="25">
        <f>VLOOKUP($H46,QUALIFICHE!$A:$J,9)</f>
        <v>52.08</v>
      </c>
      <c r="V46" s="25">
        <f>VLOOKUP($H46,QUALIFICHE!$A:$J,10)</f>
        <v>497.52</v>
      </c>
      <c r="W46" s="25">
        <f>VLOOKUP($H46,QUALIFICHE!$A:$K,11)</f>
        <v>158.4</v>
      </c>
      <c r="X46" s="73">
        <f>J46+K46+L46+N46+O46+P46+Q46+M46+R46+S46+T46+U46+V46+W46</f>
        <v>24345.090000000007</v>
      </c>
      <c r="Y46" s="71">
        <f t="shared" si="15"/>
        <v>24345.090000000007</v>
      </c>
      <c r="Z46" s="71">
        <f>Y46-U46-V46-T46</f>
        <v>23795.490000000005</v>
      </c>
      <c r="AA46" s="25">
        <f>VLOOKUP($H46,QUALIFICHE!$A:$J,7)</f>
        <v>1.3</v>
      </c>
      <c r="AB46" s="72">
        <f t="shared" si="7"/>
        <v>316.4861700000001</v>
      </c>
    </row>
    <row r="47" spans="1:28" s="15" customFormat="1" ht="15" customHeight="1" outlineLevel="2">
      <c r="A47" s="48">
        <v>4</v>
      </c>
      <c r="B47" s="48" t="s">
        <v>74</v>
      </c>
      <c r="C47" s="49">
        <v>120</v>
      </c>
      <c r="D47" s="43">
        <f>VLOOKUP($C47,CAPITOLI!$A:$E,3)</f>
        <v>1</v>
      </c>
      <c r="E47" s="44">
        <f>VLOOKUP($C47,CAPITOLI!$A:$E,4)</f>
        <v>4</v>
      </c>
      <c r="F47" s="45">
        <f>VLOOKUP($C47,CAPITOLI!$A:$E,5)</f>
        <v>1</v>
      </c>
      <c r="G47" s="49" t="s">
        <v>2</v>
      </c>
      <c r="H47" s="50" t="s">
        <v>20</v>
      </c>
      <c r="I47" s="46" t="str">
        <f>VLOOKUP(H47,QUALIFICHE!A:B,2,TRUE)</f>
        <v>ESECUTORE      </v>
      </c>
      <c r="J47" s="25">
        <f>VLOOKUP(H47,QUALIFICHE!A:J,3)</f>
        <v>18229.92</v>
      </c>
      <c r="K47" s="51">
        <v>0</v>
      </c>
      <c r="L47" s="51">
        <v>246.74</v>
      </c>
      <c r="M47" s="51">
        <v>0</v>
      </c>
      <c r="N47" s="25">
        <f>VLOOKUP($H47,QUALIFICHE!$A:$J,5)</f>
        <v>0</v>
      </c>
      <c r="O47" s="25">
        <f>ROUND((J47+K47+L47+M47)/12,2)</f>
        <v>1539.72</v>
      </c>
      <c r="P47" s="25">
        <f t="shared" si="4"/>
        <v>0</v>
      </c>
      <c r="Q47" s="101">
        <v>0</v>
      </c>
      <c r="R47" s="25">
        <f>VLOOKUP($H47,QUALIFICHE!$A:$J,8)</f>
        <v>64.56</v>
      </c>
      <c r="S47" s="51">
        <v>0</v>
      </c>
      <c r="T47" s="51">
        <v>0</v>
      </c>
      <c r="U47" s="25">
        <f>VLOOKUP($H47,QUALIFICHE!$A:$J,9)</f>
        <v>44.76</v>
      </c>
      <c r="V47" s="25">
        <f>VLOOKUP($H47,QUALIFICHE!$A:$J,10)</f>
        <v>426.96</v>
      </c>
      <c r="W47" s="25">
        <f>VLOOKUP($H47,QUALIFICHE!$A:$K,11)</f>
        <v>136.68</v>
      </c>
      <c r="X47" s="73">
        <f>J47+K47+L47+N47+O47+P47+Q47+M47+R47+S47+T47+U47+V47+W47</f>
        <v>20689.34</v>
      </c>
      <c r="Y47" s="71">
        <f t="shared" si="15"/>
        <v>20689.34</v>
      </c>
      <c r="Z47" s="71">
        <f>Y47-U47-V47-T47</f>
        <v>20217.620000000003</v>
      </c>
      <c r="AA47" s="25">
        <f>VLOOKUP($H47,QUALIFICHE!$A:$J,7)</f>
        <v>1.9</v>
      </c>
      <c r="AB47" s="72">
        <f t="shared" si="7"/>
        <v>393.09746</v>
      </c>
    </row>
    <row r="48" spans="1:28" s="15" customFormat="1" ht="15" customHeight="1" outlineLevel="2">
      <c r="A48" s="48">
        <v>5</v>
      </c>
      <c r="B48" s="48" t="s">
        <v>52</v>
      </c>
      <c r="C48" s="49">
        <v>120</v>
      </c>
      <c r="D48" s="43">
        <f>VLOOKUP($C48,CAPITOLI!$A:$E,3)</f>
        <v>1</v>
      </c>
      <c r="E48" s="44">
        <f>VLOOKUP($C48,CAPITOLI!$A:$E,4)</f>
        <v>4</v>
      </c>
      <c r="F48" s="45">
        <f>VLOOKUP($C48,CAPITOLI!$A:$E,5)</f>
        <v>1</v>
      </c>
      <c r="G48" s="49" t="s">
        <v>2</v>
      </c>
      <c r="H48" s="50" t="s">
        <v>8</v>
      </c>
      <c r="I48" s="46" t="str">
        <f>VLOOKUP(H48,QUALIFICHE!A:B,2,TRUE)</f>
        <v>ESECUTORE      </v>
      </c>
      <c r="J48" s="25">
        <f>VLOOKUP(H48,QUALIFICHE!A:J,3)</f>
        <v>18496.61</v>
      </c>
      <c r="K48" s="51">
        <v>0</v>
      </c>
      <c r="L48" s="51">
        <v>337.8</v>
      </c>
      <c r="M48" s="51">
        <v>0</v>
      </c>
      <c r="N48" s="25">
        <f>VLOOKUP($H48,QUALIFICHE!$A:$J,5)</f>
        <v>0</v>
      </c>
      <c r="O48" s="25">
        <f>ROUND((J48+K48+L48+M48)/12,2)</f>
        <v>1569.53</v>
      </c>
      <c r="P48" s="25">
        <f>N48/12</f>
        <v>0</v>
      </c>
      <c r="Q48" s="101">
        <v>0</v>
      </c>
      <c r="R48" s="25">
        <f>VLOOKUP($H48,QUALIFICHE!$A:$J,8)</f>
        <v>64.56</v>
      </c>
      <c r="S48" s="51">
        <v>0</v>
      </c>
      <c r="T48" s="51">
        <v>0</v>
      </c>
      <c r="U48" s="25">
        <f>VLOOKUP($H48,QUALIFICHE!$A:$J,9)</f>
        <v>44.76</v>
      </c>
      <c r="V48" s="25">
        <f>VLOOKUP($H48,QUALIFICHE!$A:$J,10)</f>
        <v>426.96</v>
      </c>
      <c r="W48" s="25">
        <f>VLOOKUP($H48,QUALIFICHE!$A:$K,11)</f>
        <v>138.72</v>
      </c>
      <c r="X48" s="73">
        <f>J48+K48+L48+N48+O48+P48+Q48+M48+R48+S48+T48+U48+V48+W48</f>
        <v>21078.94</v>
      </c>
      <c r="Y48" s="71">
        <f>X48-Q48</f>
        <v>21078.94</v>
      </c>
      <c r="Z48" s="71">
        <f>Y48-U48-V48-T48</f>
        <v>20607.22</v>
      </c>
      <c r="AA48" s="25">
        <f>VLOOKUP($H48,QUALIFICHE!$A:$J,7)</f>
        <v>1.9</v>
      </c>
      <c r="AB48" s="72">
        <f>Y48*AA48/100</f>
        <v>400.49985999999996</v>
      </c>
    </row>
    <row r="49" spans="1:28" s="84" customFormat="1" ht="15" customHeight="1" outlineLevel="1">
      <c r="A49" s="75"/>
      <c r="B49" s="75"/>
      <c r="C49" s="76" t="s">
        <v>371</v>
      </c>
      <c r="D49" s="77"/>
      <c r="E49" s="74"/>
      <c r="F49" s="78"/>
      <c r="G49" s="76"/>
      <c r="H49" s="79"/>
      <c r="I49" s="80"/>
      <c r="J49" s="81">
        <f aca="true" t="shared" si="21" ref="J49:Z49">SUBTOTAL(9,J44:J48)</f>
        <v>98244.56999999999</v>
      </c>
      <c r="K49" s="82">
        <f t="shared" si="21"/>
        <v>0</v>
      </c>
      <c r="L49" s="82">
        <f t="shared" si="21"/>
        <v>1883.01</v>
      </c>
      <c r="M49" s="82">
        <f t="shared" si="21"/>
        <v>0</v>
      </c>
      <c r="N49" s="81">
        <f t="shared" si="21"/>
        <v>0</v>
      </c>
      <c r="O49" s="81">
        <f t="shared" si="21"/>
        <v>8343.97</v>
      </c>
      <c r="P49" s="81">
        <f t="shared" si="21"/>
        <v>0</v>
      </c>
      <c r="Q49" s="104">
        <f t="shared" si="21"/>
        <v>0</v>
      </c>
      <c r="R49" s="81">
        <f t="shared" si="21"/>
        <v>193.68</v>
      </c>
      <c r="S49" s="82">
        <f t="shared" si="21"/>
        <v>0</v>
      </c>
      <c r="T49" s="82">
        <f t="shared" si="21"/>
        <v>0</v>
      </c>
      <c r="U49" s="81">
        <f t="shared" si="21"/>
        <v>238.44</v>
      </c>
      <c r="V49" s="81">
        <f t="shared" si="21"/>
        <v>2275.92</v>
      </c>
      <c r="W49" s="81">
        <f t="shared" si="21"/>
        <v>736.8</v>
      </c>
      <c r="X49" s="83">
        <f t="shared" si="21"/>
        <v>111916.39000000001</v>
      </c>
      <c r="Y49" s="83">
        <f t="shared" si="21"/>
        <v>111916.39000000001</v>
      </c>
      <c r="Z49" s="83">
        <f t="shared" si="21"/>
        <v>109402.03</v>
      </c>
      <c r="AA49" s="81"/>
      <c r="AB49" s="83">
        <f>SUBTOTAL(9,AB44:AB48)</f>
        <v>1831.43725</v>
      </c>
    </row>
    <row r="50" spans="1:28" s="15" customFormat="1" ht="15" customHeight="1" outlineLevel="2">
      <c r="A50" s="48">
        <v>1</v>
      </c>
      <c r="B50" s="48" t="s">
        <v>25</v>
      </c>
      <c r="C50" s="49">
        <v>160</v>
      </c>
      <c r="D50" s="43">
        <f>VLOOKUP($C50,CAPITOLI!$A:$E,3)</f>
        <v>3</v>
      </c>
      <c r="E50" s="44">
        <f>VLOOKUP($C50,CAPITOLI!$A:$E,4)</f>
        <v>1</v>
      </c>
      <c r="F50" s="45">
        <f>VLOOKUP($C50,CAPITOLI!$A:$E,5)</f>
        <v>1</v>
      </c>
      <c r="G50" s="49" t="s">
        <v>2</v>
      </c>
      <c r="H50" s="50" t="s">
        <v>10</v>
      </c>
      <c r="I50" s="46" t="str">
        <f>VLOOKUP(H50,QUALIFICHE!A:B,2,TRUE)</f>
        <v>ISTRUTT.DIR.VO </v>
      </c>
      <c r="J50" s="25">
        <f>VLOOKUP(H50,QUALIFICHE!A:J,3)</f>
        <v>21166.71</v>
      </c>
      <c r="K50" s="51">
        <v>0</v>
      </c>
      <c r="L50" s="51">
        <v>698.74</v>
      </c>
      <c r="M50" s="51">
        <v>0</v>
      </c>
      <c r="N50" s="25">
        <f>VLOOKUP($H50,QUALIFICHE!$A:$J,5)</f>
        <v>0</v>
      </c>
      <c r="O50" s="25">
        <f aca="true" t="shared" si="22" ref="O50:O60">ROUND((J50+K50+L50+M50)/12,2)</f>
        <v>1822.12</v>
      </c>
      <c r="P50" s="25">
        <f>N50/12</f>
        <v>0</v>
      </c>
      <c r="Q50" s="101">
        <v>0</v>
      </c>
      <c r="R50" s="25">
        <f>VLOOKUP($H50,QUALIFICHE!$A:$J,8)</f>
        <v>0</v>
      </c>
      <c r="S50" s="51">
        <v>1110.84</v>
      </c>
      <c r="T50" s="51">
        <v>0</v>
      </c>
      <c r="U50" s="25">
        <f>VLOOKUP($H50,QUALIFICHE!$A:$J,9)</f>
        <v>59.4</v>
      </c>
      <c r="V50" s="25">
        <f>VLOOKUP($H50,QUALIFICHE!$A:$J,10)</f>
        <v>563.4</v>
      </c>
      <c r="W50" s="25">
        <f>VLOOKUP($H50,QUALIFICHE!$A:$K,11)</f>
        <v>158.76</v>
      </c>
      <c r="X50" s="73">
        <f aca="true" t="shared" si="23" ref="X50:X60">J50+K50+L50+N50+O50+P50+Q50+M50+R50+S50+T50+U50+V50+W50</f>
        <v>25579.97</v>
      </c>
      <c r="Y50" s="71">
        <f t="shared" si="15"/>
        <v>25579.97</v>
      </c>
      <c r="Z50" s="71">
        <f aca="true" t="shared" si="24" ref="Z50:Z60">Y50-U50-V50-T50</f>
        <v>24957.17</v>
      </c>
      <c r="AA50" s="25">
        <f>VLOOKUP($H50,QUALIFICHE!$A:$J,7)</f>
        <v>1.3</v>
      </c>
      <c r="AB50" s="72">
        <f t="shared" si="7"/>
        <v>332.53961000000004</v>
      </c>
    </row>
    <row r="51" spans="1:28" s="15" customFormat="1" ht="15" customHeight="1" outlineLevel="2">
      <c r="A51" s="48">
        <v>2</v>
      </c>
      <c r="B51" s="48" t="s">
        <v>26</v>
      </c>
      <c r="C51" s="49">
        <v>160</v>
      </c>
      <c r="D51" s="43">
        <f>VLOOKUP($C51,CAPITOLI!$A:$E,3)</f>
        <v>3</v>
      </c>
      <c r="E51" s="44">
        <f>VLOOKUP($C51,CAPITOLI!$A:$E,4)</f>
        <v>1</v>
      </c>
      <c r="F51" s="45">
        <f>VLOOKUP($C51,CAPITOLI!$A:$E,5)</f>
        <v>1</v>
      </c>
      <c r="G51" s="49" t="s">
        <v>2</v>
      </c>
      <c r="H51" s="50" t="s">
        <v>27</v>
      </c>
      <c r="I51" s="46" t="str">
        <f>VLOOKUP(H51,QUALIFICHE!A:B,2,TRUE)</f>
        <v>ISTRUTTORE     </v>
      </c>
      <c r="J51" s="25">
        <f>VLOOKUP(H51,QUALIFICHE!A:J,3)</f>
        <v>19454.15</v>
      </c>
      <c r="K51" s="51">
        <v>0</v>
      </c>
      <c r="L51" s="51">
        <v>0</v>
      </c>
      <c r="M51" s="51">
        <v>0</v>
      </c>
      <c r="N51" s="25">
        <f>VLOOKUP($H51,QUALIFICHE!$A:$J,5)</f>
        <v>0</v>
      </c>
      <c r="O51" s="25">
        <f t="shared" si="22"/>
        <v>1621.18</v>
      </c>
      <c r="P51" s="25">
        <f t="shared" si="4"/>
        <v>0</v>
      </c>
      <c r="Q51" s="103">
        <v>692.16</v>
      </c>
      <c r="R51" s="25">
        <f>VLOOKUP($H51,QUALIFICHE!$A:$J,8)</f>
        <v>0</v>
      </c>
      <c r="S51" s="51">
        <v>1110.84</v>
      </c>
      <c r="T51" s="51">
        <v>0</v>
      </c>
      <c r="U51" s="25">
        <f>VLOOKUP($H51,QUALIFICHE!$A:$J,9)</f>
        <v>52.08</v>
      </c>
      <c r="V51" s="25">
        <f>VLOOKUP($H51,QUALIFICHE!$A:$J,10)</f>
        <v>497.52</v>
      </c>
      <c r="W51" s="25">
        <f>VLOOKUP($H51,QUALIFICHE!$A:$K,11)</f>
        <v>145.92</v>
      </c>
      <c r="X51" s="73">
        <f t="shared" si="23"/>
        <v>23573.850000000002</v>
      </c>
      <c r="Y51" s="71">
        <f t="shared" si="15"/>
        <v>22881.690000000002</v>
      </c>
      <c r="Z51" s="71">
        <f t="shared" si="24"/>
        <v>22332.09</v>
      </c>
      <c r="AA51" s="25">
        <f>VLOOKUP($H51,QUALIFICHE!$A:$J,7)</f>
        <v>1.3</v>
      </c>
      <c r="AB51" s="72">
        <f t="shared" si="7"/>
        <v>297.46197000000006</v>
      </c>
    </row>
    <row r="52" spans="1:28" s="15" customFormat="1" ht="15" customHeight="1" outlineLevel="2">
      <c r="A52" s="48">
        <v>3</v>
      </c>
      <c r="B52" s="48" t="s">
        <v>24</v>
      </c>
      <c r="C52" s="49">
        <v>160</v>
      </c>
      <c r="D52" s="43">
        <f>VLOOKUP($C52,CAPITOLI!$A:$E,3)</f>
        <v>3</v>
      </c>
      <c r="E52" s="44">
        <f>VLOOKUP($C52,CAPITOLI!$A:$E,4)</f>
        <v>1</v>
      </c>
      <c r="F52" s="45">
        <f>VLOOKUP($C52,CAPITOLI!$A:$E,5)</f>
        <v>1</v>
      </c>
      <c r="G52" s="49" t="s">
        <v>2</v>
      </c>
      <c r="H52" s="50" t="s">
        <v>28</v>
      </c>
      <c r="I52" s="46" t="str">
        <f>VLOOKUP(H52,QUALIFICHE!A:B,2,TRUE)</f>
        <v>ISTRUTTORE     </v>
      </c>
      <c r="J52" s="25">
        <f>VLOOKUP(H52,QUALIFICHE!A:J,3)</f>
        <v>21120.11</v>
      </c>
      <c r="K52" s="51">
        <v>0</v>
      </c>
      <c r="L52" s="51">
        <v>806.52</v>
      </c>
      <c r="M52" s="51">
        <v>0</v>
      </c>
      <c r="N52" s="25">
        <f>VLOOKUP($H52,QUALIFICHE!$A:$J,5)</f>
        <v>0</v>
      </c>
      <c r="O52" s="25">
        <f t="shared" si="22"/>
        <v>1827.22</v>
      </c>
      <c r="P52" s="25">
        <f t="shared" si="4"/>
        <v>0</v>
      </c>
      <c r="Q52" s="101">
        <v>0</v>
      </c>
      <c r="R52" s="25">
        <f>VLOOKUP($H52,QUALIFICHE!$A:$J,8)</f>
        <v>0</v>
      </c>
      <c r="S52" s="51">
        <v>1110.84</v>
      </c>
      <c r="T52" s="51">
        <v>0</v>
      </c>
      <c r="U52" s="25">
        <f>VLOOKUP($H52,QUALIFICHE!$A:$J,9)</f>
        <v>52.08</v>
      </c>
      <c r="V52" s="25">
        <f>VLOOKUP($H52,QUALIFICHE!$A:$J,10)</f>
        <v>497.52</v>
      </c>
      <c r="W52" s="25">
        <f>VLOOKUP($H52,QUALIFICHE!$A:$K,11)</f>
        <v>158.4</v>
      </c>
      <c r="X52" s="73">
        <f t="shared" si="23"/>
        <v>25572.690000000006</v>
      </c>
      <c r="Y52" s="71">
        <f t="shared" si="15"/>
        <v>25572.690000000006</v>
      </c>
      <c r="Z52" s="71">
        <f t="shared" si="24"/>
        <v>25023.090000000004</v>
      </c>
      <c r="AA52" s="25">
        <f>VLOOKUP($H52,QUALIFICHE!$A:$J,7)</f>
        <v>1.3</v>
      </c>
      <c r="AB52" s="72">
        <f t="shared" si="7"/>
        <v>332.4449700000001</v>
      </c>
    </row>
    <row r="53" spans="1:28" s="15" customFormat="1" ht="15" customHeight="1" outlineLevel="2">
      <c r="A53" s="48">
        <v>4</v>
      </c>
      <c r="B53" s="48" t="s">
        <v>70</v>
      </c>
      <c r="C53" s="49">
        <v>160</v>
      </c>
      <c r="D53" s="43">
        <f>VLOOKUP($C53,CAPITOLI!$A:$E,3)</f>
        <v>3</v>
      </c>
      <c r="E53" s="44">
        <f>VLOOKUP($C53,CAPITOLI!$A:$E,4)</f>
        <v>1</v>
      </c>
      <c r="F53" s="45">
        <f>VLOOKUP($C53,CAPITOLI!$A:$E,5)</f>
        <v>1</v>
      </c>
      <c r="G53" s="49" t="s">
        <v>2</v>
      </c>
      <c r="H53" s="50" t="s">
        <v>324</v>
      </c>
      <c r="I53" s="46" t="str">
        <f>VLOOKUP(H53,QUALIFICHE!A:B,2,TRUE)</f>
        <v>ISTRUTTORE     </v>
      </c>
      <c r="J53" s="25">
        <f>VLOOKUP(H53,QUALIFICHE!A:J,3)</f>
        <v>19917.86</v>
      </c>
      <c r="K53" s="51">
        <v>0</v>
      </c>
      <c r="L53" s="51">
        <v>0</v>
      </c>
      <c r="M53" s="51">
        <v>0</v>
      </c>
      <c r="N53" s="25">
        <f>VLOOKUP($H53,QUALIFICHE!$A:$J,5)</f>
        <v>0</v>
      </c>
      <c r="O53" s="25">
        <f t="shared" si="22"/>
        <v>1659.82</v>
      </c>
      <c r="P53" s="25">
        <f t="shared" si="4"/>
        <v>0</v>
      </c>
      <c r="Q53" s="103">
        <v>1999.56</v>
      </c>
      <c r="R53" s="25">
        <f>VLOOKUP($H53,QUALIFICHE!$A:$J,8)</f>
        <v>0</v>
      </c>
      <c r="S53" s="51">
        <v>1110.84</v>
      </c>
      <c r="T53" s="51">
        <v>0</v>
      </c>
      <c r="U53" s="25">
        <f>VLOOKUP($H53,QUALIFICHE!$A:$J,9)</f>
        <v>52.08</v>
      </c>
      <c r="V53" s="25">
        <f>VLOOKUP($H53,QUALIFICHE!$A:$J,10)</f>
        <v>497.52</v>
      </c>
      <c r="W53" s="25">
        <f>VLOOKUP($H53,QUALIFICHE!$A:$K,11)</f>
        <v>149.4</v>
      </c>
      <c r="X53" s="73">
        <f t="shared" si="23"/>
        <v>25387.080000000005</v>
      </c>
      <c r="Y53" s="71">
        <f t="shared" si="15"/>
        <v>23387.520000000004</v>
      </c>
      <c r="Z53" s="71">
        <f t="shared" si="24"/>
        <v>22837.920000000002</v>
      </c>
      <c r="AA53" s="25">
        <f>VLOOKUP($H53,QUALIFICHE!$A:$J,7)</f>
        <v>1.3</v>
      </c>
      <c r="AB53" s="72">
        <f t="shared" si="7"/>
        <v>304.03776000000005</v>
      </c>
    </row>
    <row r="54" spans="1:28" s="15" customFormat="1" ht="15" customHeight="1" outlineLevel="2">
      <c r="A54" s="48">
        <v>5</v>
      </c>
      <c r="B54" s="48" t="s">
        <v>69</v>
      </c>
      <c r="C54" s="49">
        <v>160</v>
      </c>
      <c r="D54" s="43">
        <f>VLOOKUP($C54,CAPITOLI!$A:$E,3)</f>
        <v>3</v>
      </c>
      <c r="E54" s="44">
        <f>VLOOKUP($C54,CAPITOLI!$A:$E,4)</f>
        <v>1</v>
      </c>
      <c r="F54" s="45">
        <f>VLOOKUP($C54,CAPITOLI!$A:$E,5)</f>
        <v>1</v>
      </c>
      <c r="G54" s="49" t="s">
        <v>2</v>
      </c>
      <c r="H54" s="50" t="s">
        <v>332</v>
      </c>
      <c r="I54" s="46" t="str">
        <f>VLOOKUP(H54,QUALIFICHE!A:B,2,TRUE)</f>
        <v>COLLABORATORE</v>
      </c>
      <c r="J54" s="25">
        <f>VLOOKUP(H54,QUALIFICHE!A:J,3)</f>
        <v>19878.4</v>
      </c>
      <c r="K54" s="51">
        <v>0</v>
      </c>
      <c r="L54" s="51">
        <v>347.96</v>
      </c>
      <c r="M54" s="51">
        <v>0</v>
      </c>
      <c r="N54" s="25">
        <f>VLOOKUP($H54,QUALIFICHE!$A:$J,5)</f>
        <v>55.32</v>
      </c>
      <c r="O54" s="25">
        <f t="shared" si="22"/>
        <v>1685.53</v>
      </c>
      <c r="P54" s="25">
        <f t="shared" si="4"/>
        <v>4.61</v>
      </c>
      <c r="Q54" s="101">
        <v>0</v>
      </c>
      <c r="R54" s="25">
        <f>VLOOKUP($H54,QUALIFICHE!$A:$J,8)</f>
        <v>0</v>
      </c>
      <c r="S54" s="51">
        <v>0</v>
      </c>
      <c r="T54" s="51">
        <v>0</v>
      </c>
      <c r="U54" s="25">
        <f>VLOOKUP($H54,QUALIFICHE!$A:$J,9)</f>
        <v>44.76</v>
      </c>
      <c r="V54" s="25">
        <f>VLOOKUP($H54,QUALIFICHE!$A:$J,10)</f>
        <v>426.96</v>
      </c>
      <c r="W54" s="25">
        <f>VLOOKUP($H54,QUALIFICHE!$A:$K,11)</f>
        <v>149.04</v>
      </c>
      <c r="X54" s="73">
        <f t="shared" si="23"/>
        <v>22592.579999999998</v>
      </c>
      <c r="Y54" s="71">
        <f t="shared" si="15"/>
        <v>22592.579999999998</v>
      </c>
      <c r="Z54" s="71">
        <f t="shared" si="24"/>
        <v>22120.86</v>
      </c>
      <c r="AA54" s="25">
        <f>VLOOKUP($H54,QUALIFICHE!$A:$J,7)</f>
        <v>1.9</v>
      </c>
      <c r="AB54" s="72">
        <f t="shared" si="7"/>
        <v>429.25901999999996</v>
      </c>
    </row>
    <row r="55" spans="1:28" s="15" customFormat="1" ht="15" customHeight="1" outlineLevel="2">
      <c r="A55" s="48">
        <v>6</v>
      </c>
      <c r="B55" s="48" t="s">
        <v>86</v>
      </c>
      <c r="C55" s="49">
        <v>160</v>
      </c>
      <c r="D55" s="43">
        <f>VLOOKUP($C55,CAPITOLI!$A:$E,3)</f>
        <v>3</v>
      </c>
      <c r="E55" s="44">
        <f>VLOOKUP($C55,CAPITOLI!$A:$E,4)</f>
        <v>1</v>
      </c>
      <c r="F55" s="45">
        <f>VLOOKUP($C55,CAPITOLI!$A:$E,5)</f>
        <v>1</v>
      </c>
      <c r="G55" s="49" t="s">
        <v>2</v>
      </c>
      <c r="H55" s="50" t="s">
        <v>27</v>
      </c>
      <c r="I55" s="46" t="str">
        <f>VLOOKUP(H55,QUALIFICHE!A:B,2,TRUE)</f>
        <v>ISTRUTTORE     </v>
      </c>
      <c r="J55" s="25">
        <f>VLOOKUP(H55,QUALIFICHE!A:J,3)</f>
        <v>19454.15</v>
      </c>
      <c r="K55" s="51">
        <v>0</v>
      </c>
      <c r="L55" s="51">
        <v>0</v>
      </c>
      <c r="M55" s="51">
        <v>0</v>
      </c>
      <c r="N55" s="25">
        <f>VLOOKUP($H55,QUALIFICHE!$A:$J,5)</f>
        <v>0</v>
      </c>
      <c r="O55" s="25">
        <f t="shared" si="22"/>
        <v>1621.18</v>
      </c>
      <c r="P55" s="25">
        <f t="shared" si="4"/>
        <v>0</v>
      </c>
      <c r="Q55" s="101">
        <v>0</v>
      </c>
      <c r="R55" s="25">
        <f>VLOOKUP($H55,QUALIFICHE!$A:$J,8)</f>
        <v>0</v>
      </c>
      <c r="S55" s="51">
        <v>1110.84</v>
      </c>
      <c r="T55" s="51">
        <v>0</v>
      </c>
      <c r="U55" s="25">
        <f>VLOOKUP($H55,QUALIFICHE!$A:$J,9)</f>
        <v>52.08</v>
      </c>
      <c r="V55" s="25">
        <f>VLOOKUP($H55,QUALIFICHE!$A:$J,10)</f>
        <v>497.52</v>
      </c>
      <c r="W55" s="25">
        <f>VLOOKUP($H55,QUALIFICHE!$A:$K,11)</f>
        <v>145.92</v>
      </c>
      <c r="X55" s="73">
        <f t="shared" si="23"/>
        <v>22881.690000000002</v>
      </c>
      <c r="Y55" s="71">
        <f t="shared" si="15"/>
        <v>22881.690000000002</v>
      </c>
      <c r="Z55" s="71">
        <f t="shared" si="24"/>
        <v>22332.09</v>
      </c>
      <c r="AA55" s="25">
        <f>VLOOKUP($H55,QUALIFICHE!$A:$J,7)</f>
        <v>1.3</v>
      </c>
      <c r="AB55" s="72">
        <f t="shared" si="7"/>
        <v>297.46197000000006</v>
      </c>
    </row>
    <row r="56" spans="1:28" s="15" customFormat="1" ht="15" customHeight="1" outlineLevel="2">
      <c r="A56" s="48">
        <v>7</v>
      </c>
      <c r="B56" s="48" t="s">
        <v>64</v>
      </c>
      <c r="C56" s="49">
        <v>160</v>
      </c>
      <c r="D56" s="43">
        <f>VLOOKUP($C56,CAPITOLI!$A:$E,3)</f>
        <v>3</v>
      </c>
      <c r="E56" s="44">
        <f>VLOOKUP($C56,CAPITOLI!$A:$E,4)</f>
        <v>1</v>
      </c>
      <c r="F56" s="45">
        <f>VLOOKUP($C56,CAPITOLI!$A:$E,5)</f>
        <v>1</v>
      </c>
      <c r="G56" s="49" t="s">
        <v>2</v>
      </c>
      <c r="H56" s="50" t="s">
        <v>324</v>
      </c>
      <c r="I56" s="46" t="str">
        <f>VLOOKUP(H56,QUALIFICHE!A:B,2,TRUE)</f>
        <v>ISTRUTTORE     </v>
      </c>
      <c r="J56" s="25">
        <f>VLOOKUP(H56,QUALIFICHE!A:J,3)</f>
        <v>19917.86</v>
      </c>
      <c r="K56" s="51">
        <v>0</v>
      </c>
      <c r="L56" s="51">
        <v>0</v>
      </c>
      <c r="M56" s="51">
        <v>0</v>
      </c>
      <c r="N56" s="25">
        <f>VLOOKUP($H56,QUALIFICHE!$A:$J,5)</f>
        <v>0</v>
      </c>
      <c r="O56" s="25">
        <f t="shared" si="22"/>
        <v>1659.82</v>
      </c>
      <c r="P56" s="25">
        <f t="shared" si="4"/>
        <v>0</v>
      </c>
      <c r="Q56" s="101">
        <v>0</v>
      </c>
      <c r="R56" s="25">
        <f>VLOOKUP($H56,QUALIFICHE!$A:$J,8)</f>
        <v>0</v>
      </c>
      <c r="S56" s="51">
        <v>1110.84</v>
      </c>
      <c r="T56" s="51">
        <v>0</v>
      </c>
      <c r="U56" s="25">
        <f>VLOOKUP($H56,QUALIFICHE!$A:$J,9)</f>
        <v>52.08</v>
      </c>
      <c r="V56" s="25">
        <f>VLOOKUP($H56,QUALIFICHE!$A:$J,10)</f>
        <v>497.52</v>
      </c>
      <c r="W56" s="25">
        <f>VLOOKUP($H56,QUALIFICHE!$A:$K,11)</f>
        <v>149.4</v>
      </c>
      <c r="X56" s="73">
        <f t="shared" si="23"/>
        <v>23387.520000000004</v>
      </c>
      <c r="Y56" s="71">
        <f t="shared" si="15"/>
        <v>23387.520000000004</v>
      </c>
      <c r="Z56" s="71">
        <f t="shared" si="24"/>
        <v>22837.920000000002</v>
      </c>
      <c r="AA56" s="25">
        <f>VLOOKUP($H56,QUALIFICHE!$A:$J,7)</f>
        <v>1.3</v>
      </c>
      <c r="AB56" s="72">
        <f t="shared" si="7"/>
        <v>304.03776000000005</v>
      </c>
    </row>
    <row r="57" spans="1:28" s="15" customFormat="1" ht="15" customHeight="1" outlineLevel="2">
      <c r="A57" s="48">
        <v>8</v>
      </c>
      <c r="B57" s="48" t="s">
        <v>22</v>
      </c>
      <c r="C57" s="49">
        <v>160</v>
      </c>
      <c r="D57" s="43">
        <f>VLOOKUP($C57,CAPITOLI!$A:$E,3)</f>
        <v>3</v>
      </c>
      <c r="E57" s="44">
        <f>VLOOKUP($C57,CAPITOLI!$A:$E,4)</f>
        <v>1</v>
      </c>
      <c r="F57" s="45">
        <f>VLOOKUP($C57,CAPITOLI!$A:$E,5)</f>
        <v>1</v>
      </c>
      <c r="G57" s="49" t="s">
        <v>2</v>
      </c>
      <c r="H57" s="50" t="s">
        <v>10</v>
      </c>
      <c r="I57" s="46" t="str">
        <f>VLOOKUP(H57,QUALIFICHE!A:B,2,TRUE)</f>
        <v>ISTRUTT.DIR.VO </v>
      </c>
      <c r="J57" s="25">
        <f>VLOOKUP(H57,QUALIFICHE!A:J,3)</f>
        <v>21166.71</v>
      </c>
      <c r="K57" s="51">
        <v>0</v>
      </c>
      <c r="L57" s="51">
        <v>540.01</v>
      </c>
      <c r="M57" s="51">
        <v>0</v>
      </c>
      <c r="N57" s="25">
        <f>VLOOKUP($H57,QUALIFICHE!$A:$J,5)</f>
        <v>0</v>
      </c>
      <c r="O57" s="25">
        <f t="shared" si="22"/>
        <v>1808.89</v>
      </c>
      <c r="P57" s="25">
        <f t="shared" si="4"/>
        <v>0</v>
      </c>
      <c r="Q57" s="103">
        <v>554.52</v>
      </c>
      <c r="R57" s="25">
        <f>VLOOKUP($H57,QUALIFICHE!$A:$J,8)</f>
        <v>0</v>
      </c>
      <c r="S57" s="51">
        <v>1110.84</v>
      </c>
      <c r="T57" s="51">
        <v>0</v>
      </c>
      <c r="U57" s="25">
        <f>VLOOKUP($H57,QUALIFICHE!$A:$J,9)</f>
        <v>59.4</v>
      </c>
      <c r="V57" s="25">
        <f>VLOOKUP($H57,QUALIFICHE!$A:$J,10)</f>
        <v>563.4</v>
      </c>
      <c r="W57" s="25">
        <f>VLOOKUP($H57,QUALIFICHE!$A:$K,11)</f>
        <v>158.76</v>
      </c>
      <c r="X57" s="73">
        <f t="shared" si="23"/>
        <v>25962.53</v>
      </c>
      <c r="Y57" s="71">
        <f t="shared" si="15"/>
        <v>25408.01</v>
      </c>
      <c r="Z57" s="71">
        <f t="shared" si="24"/>
        <v>24785.209999999995</v>
      </c>
      <c r="AA57" s="25">
        <f>VLOOKUP($H57,QUALIFICHE!$A:$J,7)</f>
        <v>1.3</v>
      </c>
      <c r="AB57" s="72">
        <f t="shared" si="7"/>
        <v>330.30413</v>
      </c>
    </row>
    <row r="58" spans="1:28" s="15" customFormat="1" ht="15" customHeight="1" outlineLevel="2">
      <c r="A58" s="48">
        <v>9</v>
      </c>
      <c r="B58" s="48" t="s">
        <v>59</v>
      </c>
      <c r="C58" s="49">
        <v>160</v>
      </c>
      <c r="D58" s="43">
        <f>VLOOKUP($C58,CAPITOLI!$A:$E,3)</f>
        <v>3</v>
      </c>
      <c r="E58" s="44">
        <f>VLOOKUP($C58,CAPITOLI!$A:$E,4)</f>
        <v>1</v>
      </c>
      <c r="F58" s="45">
        <f>VLOOKUP($C58,CAPITOLI!$A:$E,5)</f>
        <v>1</v>
      </c>
      <c r="G58" s="49" t="s">
        <v>2</v>
      </c>
      <c r="H58" s="50" t="s">
        <v>27</v>
      </c>
      <c r="I58" s="46" t="str">
        <f>VLOOKUP(H58,QUALIFICHE!A:B,2,TRUE)</f>
        <v>ISTRUTTORE     </v>
      </c>
      <c r="J58" s="25">
        <f>VLOOKUP(H58,QUALIFICHE!A:J,3)</f>
        <v>19454.15</v>
      </c>
      <c r="K58" s="51">
        <v>0</v>
      </c>
      <c r="L58" s="51">
        <v>0</v>
      </c>
      <c r="M58" s="51">
        <v>0</v>
      </c>
      <c r="N58" s="25">
        <f>VLOOKUP($H58,QUALIFICHE!$A:$J,5)</f>
        <v>0</v>
      </c>
      <c r="O58" s="25">
        <f t="shared" si="22"/>
        <v>1621.18</v>
      </c>
      <c r="P58" s="25">
        <f t="shared" si="4"/>
        <v>0</v>
      </c>
      <c r="Q58" s="103">
        <v>1917</v>
      </c>
      <c r="R58" s="25">
        <f>VLOOKUP($H58,QUALIFICHE!$A:$J,8)</f>
        <v>0</v>
      </c>
      <c r="S58" s="51">
        <v>1110.84</v>
      </c>
      <c r="T58" s="51">
        <v>0</v>
      </c>
      <c r="U58" s="25">
        <f>VLOOKUP($H58,QUALIFICHE!$A:$J,9)</f>
        <v>52.08</v>
      </c>
      <c r="V58" s="25">
        <f>VLOOKUP($H58,QUALIFICHE!$A:$J,10)</f>
        <v>497.52</v>
      </c>
      <c r="W58" s="25">
        <f>VLOOKUP($H58,QUALIFICHE!$A:$K,11)</f>
        <v>145.92</v>
      </c>
      <c r="X58" s="73">
        <f t="shared" si="23"/>
        <v>24798.690000000002</v>
      </c>
      <c r="Y58" s="71">
        <f t="shared" si="15"/>
        <v>22881.690000000002</v>
      </c>
      <c r="Z58" s="71">
        <f t="shared" si="24"/>
        <v>22332.09</v>
      </c>
      <c r="AA58" s="25">
        <f>VLOOKUP($H58,QUALIFICHE!$A:$J,7)</f>
        <v>1.3</v>
      </c>
      <c r="AB58" s="72">
        <f t="shared" si="7"/>
        <v>297.46197000000006</v>
      </c>
    </row>
    <row r="59" spans="1:28" s="15" customFormat="1" ht="15" customHeight="1" outlineLevel="2">
      <c r="A59" s="48">
        <v>10</v>
      </c>
      <c r="B59" s="48" t="s">
        <v>84</v>
      </c>
      <c r="C59" s="49">
        <v>160</v>
      </c>
      <c r="D59" s="43">
        <f>VLOOKUP($C59,CAPITOLI!$A:$E,3)</f>
        <v>3</v>
      </c>
      <c r="E59" s="44">
        <f>VLOOKUP($C59,CAPITOLI!$A:$E,4)</f>
        <v>1</v>
      </c>
      <c r="F59" s="45">
        <f>VLOOKUP($C59,CAPITOLI!$A:$E,5)</f>
        <v>1</v>
      </c>
      <c r="G59" s="49" t="s">
        <v>2</v>
      </c>
      <c r="H59" s="50" t="s">
        <v>324</v>
      </c>
      <c r="I59" s="46" t="str">
        <f>VLOOKUP(H59,QUALIFICHE!A:B,2,TRUE)</f>
        <v>ISTRUTTORE     </v>
      </c>
      <c r="J59" s="25">
        <f>VLOOKUP(H59,QUALIFICHE!A:J,3)</f>
        <v>19917.86</v>
      </c>
      <c r="K59" s="51">
        <v>0</v>
      </c>
      <c r="L59" s="51">
        <v>0</v>
      </c>
      <c r="M59" s="51">
        <v>0</v>
      </c>
      <c r="N59" s="25">
        <f>VLOOKUP($H59,QUALIFICHE!$A:$J,5)</f>
        <v>0</v>
      </c>
      <c r="O59" s="25">
        <f t="shared" si="22"/>
        <v>1659.82</v>
      </c>
      <c r="P59" s="25">
        <f t="shared" si="4"/>
        <v>0</v>
      </c>
      <c r="Q59" s="103">
        <v>599.16</v>
      </c>
      <c r="R59" s="25">
        <f>VLOOKUP($H59,QUALIFICHE!$A:$J,8)</f>
        <v>0</v>
      </c>
      <c r="S59" s="51">
        <v>1110.84</v>
      </c>
      <c r="T59" s="51">
        <v>0</v>
      </c>
      <c r="U59" s="25">
        <f>VLOOKUP($H59,QUALIFICHE!$A:$J,9)</f>
        <v>52.08</v>
      </c>
      <c r="V59" s="25">
        <f>VLOOKUP($H59,QUALIFICHE!$A:$J,10)</f>
        <v>497.52</v>
      </c>
      <c r="W59" s="25">
        <f>VLOOKUP($H59,QUALIFICHE!$A:$K,11)</f>
        <v>149.4</v>
      </c>
      <c r="X59" s="73">
        <f t="shared" si="23"/>
        <v>23986.680000000004</v>
      </c>
      <c r="Y59" s="71">
        <f t="shared" si="15"/>
        <v>23387.520000000004</v>
      </c>
      <c r="Z59" s="71">
        <f t="shared" si="24"/>
        <v>22837.920000000002</v>
      </c>
      <c r="AA59" s="25">
        <f>VLOOKUP($H59,QUALIFICHE!$A:$J,7)</f>
        <v>1.3</v>
      </c>
      <c r="AB59" s="72">
        <f t="shared" si="7"/>
        <v>304.03776000000005</v>
      </c>
    </row>
    <row r="60" spans="1:28" s="15" customFormat="1" ht="15" customHeight="1" outlineLevel="2">
      <c r="A60" s="48">
        <v>11</v>
      </c>
      <c r="B60" s="48" t="s">
        <v>40</v>
      </c>
      <c r="C60" s="49">
        <v>160</v>
      </c>
      <c r="D60" s="43">
        <f>VLOOKUP($C60,CAPITOLI!$A:$E,3)</f>
        <v>3</v>
      </c>
      <c r="E60" s="44">
        <f>VLOOKUP($C60,CAPITOLI!$A:$E,4)</f>
        <v>1</v>
      </c>
      <c r="F60" s="45">
        <f>VLOOKUP($C60,CAPITOLI!$A:$E,5)</f>
        <v>1</v>
      </c>
      <c r="G60" s="49" t="s">
        <v>2</v>
      </c>
      <c r="H60" s="50" t="s">
        <v>58</v>
      </c>
      <c r="I60" s="46" t="str">
        <f>VLOOKUP(H60,QUALIFICHE!A:B,2,TRUE)</f>
        <v>FUNZIONARIO</v>
      </c>
      <c r="J60" s="25">
        <f>VLOOKUP(H60,QUALIFICHE!A:J,3)</f>
        <v>25377.76</v>
      </c>
      <c r="K60" s="51">
        <v>0</v>
      </c>
      <c r="L60" s="51">
        <v>0</v>
      </c>
      <c r="M60" s="51">
        <v>9500</v>
      </c>
      <c r="N60" s="25">
        <v>0</v>
      </c>
      <c r="O60" s="25">
        <f t="shared" si="22"/>
        <v>2906.48</v>
      </c>
      <c r="P60" s="25">
        <f t="shared" si="4"/>
        <v>0</v>
      </c>
      <c r="Q60" s="101">
        <v>0</v>
      </c>
      <c r="R60" s="25">
        <f>VLOOKUP($H60,QUALIFICHE!$A:$J,8)</f>
        <v>0</v>
      </c>
      <c r="S60" s="51">
        <v>1110.84</v>
      </c>
      <c r="T60" s="51">
        <v>0</v>
      </c>
      <c r="U60" s="25">
        <f>VLOOKUP($H60,QUALIFICHE!$A:$J,9)</f>
        <v>59.4</v>
      </c>
      <c r="V60" s="25">
        <f>VLOOKUP($H60,QUALIFICHE!$A:$J,10)</f>
        <v>563.4</v>
      </c>
      <c r="W60" s="25">
        <f>VLOOKUP($H60,QUALIFICHE!$A:$K,11)</f>
        <v>190.32</v>
      </c>
      <c r="X60" s="73">
        <f t="shared" si="23"/>
        <v>39708.2</v>
      </c>
      <c r="Y60" s="71">
        <f>X60-Q60</f>
        <v>39708.2</v>
      </c>
      <c r="Z60" s="71">
        <f t="shared" si="24"/>
        <v>39085.399999999994</v>
      </c>
      <c r="AA60" s="25">
        <f>VLOOKUP($H60,QUALIFICHE!$A:$J,7)</f>
        <v>1.3</v>
      </c>
      <c r="AB60" s="72">
        <f>Y60*AA60/100</f>
        <v>516.2066</v>
      </c>
    </row>
    <row r="61" spans="1:28" s="15" customFormat="1" ht="15" customHeight="1" outlineLevel="2">
      <c r="A61" s="48">
        <v>12</v>
      </c>
      <c r="B61" s="48" t="s">
        <v>461</v>
      </c>
      <c r="C61" s="49">
        <v>160</v>
      </c>
      <c r="D61" s="43">
        <f>VLOOKUP($C61,CAPITOLI!$A:$E,3)</f>
        <v>3</v>
      </c>
      <c r="E61" s="44">
        <f>VLOOKUP($C61,CAPITOLI!$A:$E,4)</f>
        <v>1</v>
      </c>
      <c r="F61" s="45">
        <f>VLOOKUP($C61,CAPITOLI!$A:$E,5)</f>
        <v>1</v>
      </c>
      <c r="G61" s="49" t="s">
        <v>2</v>
      </c>
      <c r="H61" s="50" t="s">
        <v>309</v>
      </c>
      <c r="I61" s="46" t="str">
        <f>VLOOKUP(H61,QUALIFICHE!A:B,2,TRUE)</f>
        <v>COLLABORATORE</v>
      </c>
      <c r="J61" s="25">
        <f>VLOOKUP(H61,QUALIFICHE!A:J,3)</f>
        <v>18229.92</v>
      </c>
      <c r="K61" s="51">
        <v>3011.04</v>
      </c>
      <c r="L61" s="51">
        <v>459.48</v>
      </c>
      <c r="M61" s="51">
        <v>0</v>
      </c>
      <c r="N61" s="25">
        <v>0</v>
      </c>
      <c r="O61" s="25">
        <f>ROUND((J61+K61+L61+M61)/12,2)</f>
        <v>1808.37</v>
      </c>
      <c r="P61" s="25">
        <f>N61/12</f>
        <v>0</v>
      </c>
      <c r="Q61" s="101">
        <v>924.6</v>
      </c>
      <c r="R61" s="25">
        <f>VLOOKUP($H61,QUALIFICHE!$A:$J,8)</f>
        <v>0</v>
      </c>
      <c r="S61" s="51">
        <v>0</v>
      </c>
      <c r="T61" s="51">
        <v>0</v>
      </c>
      <c r="U61" s="25">
        <f>VLOOKUP($H61,QUALIFICHE!$A:$J,9)</f>
        <v>44.76</v>
      </c>
      <c r="V61" s="25">
        <f>VLOOKUP($H61,QUALIFICHE!$A:$J,10)</f>
        <v>426.96</v>
      </c>
      <c r="W61" s="25">
        <f>VLOOKUP($H61,QUALIFICHE!$A:$K,11)</f>
        <v>136.68</v>
      </c>
      <c r="X61" s="73">
        <f>J61+K61+L61+N61+O61+P61+Q61+M61+R61+S61+T61+U61+V61+W61</f>
        <v>25041.809999999994</v>
      </c>
      <c r="Y61" s="71">
        <f>X61-Q61</f>
        <v>24117.209999999995</v>
      </c>
      <c r="Z61" s="71">
        <f>Y61-U61-V61-T61</f>
        <v>23645.489999999998</v>
      </c>
      <c r="AA61" s="25">
        <f>VLOOKUP($H61,QUALIFICHE!$A:$J,7)</f>
        <v>1.9</v>
      </c>
      <c r="AB61" s="72">
        <f>Y61*AA61/100</f>
        <v>458.2269899999999</v>
      </c>
    </row>
    <row r="62" spans="1:28" s="84" customFormat="1" ht="15" customHeight="1" outlineLevel="1">
      <c r="A62" s="75"/>
      <c r="B62" s="75"/>
      <c r="C62" s="76" t="s">
        <v>372</v>
      </c>
      <c r="D62" s="77"/>
      <c r="E62" s="74"/>
      <c r="F62" s="78"/>
      <c r="G62" s="76"/>
      <c r="H62" s="79"/>
      <c r="I62" s="80"/>
      <c r="J62" s="81">
        <f aca="true" t="shared" si="25" ref="J62:Z62">SUBTOTAL(9,J50:J61)</f>
        <v>245055.63999999996</v>
      </c>
      <c r="K62" s="82">
        <f t="shared" si="25"/>
        <v>3011.04</v>
      </c>
      <c r="L62" s="82">
        <f t="shared" si="25"/>
        <v>2852.71</v>
      </c>
      <c r="M62" s="82">
        <f t="shared" si="25"/>
        <v>9500</v>
      </c>
      <c r="N62" s="81">
        <f t="shared" si="25"/>
        <v>55.32</v>
      </c>
      <c r="O62" s="81">
        <f t="shared" si="25"/>
        <v>21701.61</v>
      </c>
      <c r="P62" s="81">
        <f t="shared" si="25"/>
        <v>4.61</v>
      </c>
      <c r="Q62" s="104">
        <f t="shared" si="25"/>
        <v>6687</v>
      </c>
      <c r="R62" s="81">
        <f t="shared" si="25"/>
        <v>0</v>
      </c>
      <c r="S62" s="82">
        <f t="shared" si="25"/>
        <v>11108.4</v>
      </c>
      <c r="T62" s="82">
        <f t="shared" si="25"/>
        <v>0</v>
      </c>
      <c r="U62" s="81">
        <f t="shared" si="25"/>
        <v>632.2799999999999</v>
      </c>
      <c r="V62" s="81">
        <f t="shared" si="25"/>
        <v>6026.759999999999</v>
      </c>
      <c r="W62" s="81">
        <f t="shared" si="25"/>
        <v>1837.92</v>
      </c>
      <c r="X62" s="83">
        <f t="shared" si="25"/>
        <v>308473.29</v>
      </c>
      <c r="Y62" s="83">
        <f t="shared" si="25"/>
        <v>301786.2900000001</v>
      </c>
      <c r="Z62" s="83">
        <f t="shared" si="25"/>
        <v>295127.25</v>
      </c>
      <c r="AA62" s="81"/>
      <c r="AB62" s="83">
        <f>SUBTOTAL(9,AB50:AB61)</f>
        <v>4203.48051</v>
      </c>
    </row>
    <row r="63" spans="1:28" s="15" customFormat="1" ht="15" customHeight="1" outlineLevel="2">
      <c r="A63" s="48">
        <v>1</v>
      </c>
      <c r="B63" s="48" t="s">
        <v>71</v>
      </c>
      <c r="C63" s="49">
        <v>250</v>
      </c>
      <c r="D63" s="43">
        <f>VLOOKUP($C63,CAPITOLI!$A:$E,3)</f>
        <v>4</v>
      </c>
      <c r="E63" s="44">
        <f>VLOOKUP($C63,CAPITOLI!$A:$E,4)</f>
        <v>5</v>
      </c>
      <c r="F63" s="45">
        <f>VLOOKUP($C63,CAPITOLI!$A:$E,5)</f>
        <v>1</v>
      </c>
      <c r="G63" s="49" t="s">
        <v>2</v>
      </c>
      <c r="H63" s="50" t="s">
        <v>31</v>
      </c>
      <c r="I63" s="46" t="str">
        <f>VLOOKUP(H63,QUALIFICHE!A:B,2,TRUE)</f>
        <v>COLLABORATORE</v>
      </c>
      <c r="J63" s="25">
        <f>VLOOKUP(H63,QUALIFICHE!A:J,3)</f>
        <v>18808.79</v>
      </c>
      <c r="K63" s="51">
        <v>0</v>
      </c>
      <c r="L63" s="51">
        <v>481.2</v>
      </c>
      <c r="M63" s="51">
        <v>0</v>
      </c>
      <c r="N63" s="25">
        <f>VLOOKUP($H63,QUALIFICHE!$A:$J,5)</f>
        <v>55.32</v>
      </c>
      <c r="O63" s="25">
        <f>ROUND((J63+K63+L63+M63)/12,2)</f>
        <v>1607.5</v>
      </c>
      <c r="P63" s="25">
        <f t="shared" si="4"/>
        <v>4.61</v>
      </c>
      <c r="Q63" s="103">
        <v>822.36</v>
      </c>
      <c r="R63" s="25">
        <f>VLOOKUP($H63,QUALIFICHE!$A:$J,8)</f>
        <v>0</v>
      </c>
      <c r="S63" s="51">
        <v>0</v>
      </c>
      <c r="T63" s="51">
        <v>0</v>
      </c>
      <c r="U63" s="25">
        <f>VLOOKUP($H63,QUALIFICHE!$A:$J,9)</f>
        <v>44.76</v>
      </c>
      <c r="V63" s="25">
        <f>VLOOKUP($H63,QUALIFICHE!$A:$J,10)</f>
        <v>426.96</v>
      </c>
      <c r="W63" s="25">
        <f>VLOOKUP($H63,QUALIFICHE!$A:$K,11)</f>
        <v>141.12</v>
      </c>
      <c r="X63" s="73">
        <f>J63+K63+L63+N63+O63+P63+Q63+M63+R63+S63+T63+U63+V63+W63</f>
        <v>22392.62</v>
      </c>
      <c r="Y63" s="71">
        <f>X63-Q63</f>
        <v>21570.26</v>
      </c>
      <c r="Z63" s="71">
        <f>Y63-U63-V63-T63</f>
        <v>21098.54</v>
      </c>
      <c r="AA63" s="25">
        <f>VLOOKUP($H63,QUALIFICHE!$A:$J,7)</f>
        <v>1.9</v>
      </c>
      <c r="AB63" s="72">
        <f>Y63*AA63/100</f>
        <v>409.8349399999999</v>
      </c>
    </row>
    <row r="64" spans="1:28" s="15" customFormat="1" ht="15" customHeight="1" outlineLevel="2">
      <c r="A64" s="48"/>
      <c r="B64" s="48"/>
      <c r="C64" s="49"/>
      <c r="D64" s="43"/>
      <c r="E64" s="44"/>
      <c r="F64" s="45"/>
      <c r="G64" s="49"/>
      <c r="H64" s="50"/>
      <c r="I64" s="46"/>
      <c r="J64" s="25"/>
      <c r="K64" s="51"/>
      <c r="L64" s="51"/>
      <c r="M64" s="51"/>
      <c r="N64" s="25"/>
      <c r="O64" s="25"/>
      <c r="P64" s="25"/>
      <c r="Q64" s="103"/>
      <c r="R64" s="25"/>
      <c r="S64" s="51"/>
      <c r="T64" s="51"/>
      <c r="U64" s="25"/>
      <c r="V64" s="25"/>
      <c r="W64" s="25"/>
      <c r="X64" s="73"/>
      <c r="Y64" s="71"/>
      <c r="Z64" s="71"/>
      <c r="AA64" s="25"/>
      <c r="AB64" s="72"/>
    </row>
    <row r="65" spans="1:28" s="84" customFormat="1" ht="15" customHeight="1" outlineLevel="1">
      <c r="A65" s="75"/>
      <c r="B65" s="75"/>
      <c r="C65" s="76" t="s">
        <v>373</v>
      </c>
      <c r="D65" s="77"/>
      <c r="E65" s="74"/>
      <c r="F65" s="78"/>
      <c r="G65" s="76"/>
      <c r="H65" s="79"/>
      <c r="I65" s="80"/>
      <c r="J65" s="81">
        <f aca="true" t="shared" si="26" ref="J65:Z65">SUBTOTAL(9,J63:J64)</f>
        <v>18808.79</v>
      </c>
      <c r="K65" s="82">
        <f t="shared" si="26"/>
        <v>0</v>
      </c>
      <c r="L65" s="82">
        <f t="shared" si="26"/>
        <v>481.2</v>
      </c>
      <c r="M65" s="82">
        <f t="shared" si="26"/>
        <v>0</v>
      </c>
      <c r="N65" s="81">
        <f t="shared" si="26"/>
        <v>55.32</v>
      </c>
      <c r="O65" s="81">
        <f t="shared" si="26"/>
        <v>1607.5</v>
      </c>
      <c r="P65" s="81">
        <f t="shared" si="26"/>
        <v>4.61</v>
      </c>
      <c r="Q65" s="104">
        <f t="shared" si="26"/>
        <v>822.36</v>
      </c>
      <c r="R65" s="81">
        <f t="shared" si="26"/>
        <v>0</v>
      </c>
      <c r="S65" s="82">
        <f t="shared" si="26"/>
        <v>0</v>
      </c>
      <c r="T65" s="82">
        <f t="shared" si="26"/>
        <v>0</v>
      </c>
      <c r="U65" s="81">
        <f t="shared" si="26"/>
        <v>44.76</v>
      </c>
      <c r="V65" s="81">
        <f t="shared" si="26"/>
        <v>426.96</v>
      </c>
      <c r="W65" s="81">
        <f t="shared" si="26"/>
        <v>141.12</v>
      </c>
      <c r="X65" s="83">
        <f t="shared" si="26"/>
        <v>22392.62</v>
      </c>
      <c r="Y65" s="83">
        <f t="shared" si="26"/>
        <v>21570.26</v>
      </c>
      <c r="Z65" s="83">
        <f t="shared" si="26"/>
        <v>21098.54</v>
      </c>
      <c r="AA65" s="81"/>
      <c r="AB65" s="83">
        <f>SUBTOTAL(9,AB63:AB64)</f>
        <v>409.8349399999999</v>
      </c>
    </row>
    <row r="66" spans="1:28" s="15" customFormat="1" ht="15" customHeight="1" outlineLevel="2">
      <c r="A66" s="48"/>
      <c r="B66" s="48"/>
      <c r="C66" s="49"/>
      <c r="D66" s="43"/>
      <c r="E66" s="44"/>
      <c r="F66" s="45"/>
      <c r="G66" s="49"/>
      <c r="H66" s="50"/>
      <c r="I66" s="46"/>
      <c r="J66" s="25"/>
      <c r="K66" s="51"/>
      <c r="L66" s="51"/>
      <c r="M66" s="51"/>
      <c r="N66" s="25"/>
      <c r="O66" s="25"/>
      <c r="P66" s="25"/>
      <c r="Q66" s="103"/>
      <c r="R66" s="25"/>
      <c r="S66" s="51"/>
      <c r="T66" s="51"/>
      <c r="U66" s="25"/>
      <c r="V66" s="25"/>
      <c r="W66" s="25"/>
      <c r="X66" s="73"/>
      <c r="Y66" s="71"/>
      <c r="Z66" s="71"/>
      <c r="AA66" s="25"/>
      <c r="AB66" s="72"/>
    </row>
    <row r="67" spans="1:28" s="84" customFormat="1" ht="15" customHeight="1" outlineLevel="1">
      <c r="A67" s="75"/>
      <c r="B67" s="75"/>
      <c r="C67" s="76" t="s">
        <v>374</v>
      </c>
      <c r="D67" s="77"/>
      <c r="E67" s="74"/>
      <c r="F67" s="78"/>
      <c r="G67" s="76"/>
      <c r="H67" s="79"/>
      <c r="I67" s="80"/>
      <c r="J67" s="81">
        <f aca="true" t="shared" si="27" ref="J67:P67">SUBTOTAL(9,J66:J66)</f>
        <v>0</v>
      </c>
      <c r="K67" s="82">
        <f t="shared" si="27"/>
        <v>0</v>
      </c>
      <c r="L67" s="82">
        <f t="shared" si="27"/>
        <v>0</v>
      </c>
      <c r="M67" s="82">
        <f>SUBTOTAL(9,M66:M66)</f>
        <v>0</v>
      </c>
      <c r="N67" s="81">
        <f t="shared" si="27"/>
        <v>0</v>
      </c>
      <c r="O67" s="81">
        <f t="shared" si="27"/>
        <v>0</v>
      </c>
      <c r="P67" s="81">
        <f t="shared" si="27"/>
        <v>0</v>
      </c>
      <c r="Q67" s="104">
        <f aca="true" t="shared" si="28" ref="Q67:X67">SUBTOTAL(9,Q66:Q66)</f>
        <v>0</v>
      </c>
      <c r="R67" s="81">
        <f t="shared" si="28"/>
        <v>0</v>
      </c>
      <c r="S67" s="82">
        <f t="shared" si="28"/>
        <v>0</v>
      </c>
      <c r="T67" s="82">
        <f t="shared" si="28"/>
        <v>0</v>
      </c>
      <c r="U67" s="81">
        <f t="shared" si="28"/>
        <v>0</v>
      </c>
      <c r="V67" s="81">
        <f t="shared" si="28"/>
        <v>0</v>
      </c>
      <c r="W67" s="81">
        <f t="shared" si="28"/>
        <v>0</v>
      </c>
      <c r="X67" s="83">
        <f t="shared" si="28"/>
        <v>0</v>
      </c>
      <c r="Y67" s="83">
        <f>SUBTOTAL(9,Y66:Y66)</f>
        <v>0</v>
      </c>
      <c r="Z67" s="83">
        <f>SUBTOTAL(9,Z66:Z66)</f>
        <v>0</v>
      </c>
      <c r="AA67" s="81"/>
      <c r="AB67" s="83">
        <f>SUBTOTAL(9,AB66:AB66)</f>
        <v>0</v>
      </c>
    </row>
    <row r="68" spans="1:28" s="15" customFormat="1" ht="15" customHeight="1" outlineLevel="2">
      <c r="A68" s="48">
        <v>1</v>
      </c>
      <c r="B68" s="48" t="s">
        <v>77</v>
      </c>
      <c r="C68" s="49">
        <v>340</v>
      </c>
      <c r="D68" s="43">
        <f>VLOOKUP($C68,CAPITOLI!$A:$E,3)</f>
        <v>9</v>
      </c>
      <c r="E68" s="44">
        <f>VLOOKUP($C68,CAPITOLI!$A:$E,4)</f>
        <v>1</v>
      </c>
      <c r="F68" s="45">
        <f>VLOOKUP($C68,CAPITOLI!$A:$E,5)</f>
        <v>1</v>
      </c>
      <c r="G68" s="49" t="s">
        <v>2</v>
      </c>
      <c r="H68" s="50" t="s">
        <v>325</v>
      </c>
      <c r="I68" s="46" t="str">
        <f>VLOOKUP(H68,QUALIFICHE!A:B,2,TRUE)</f>
        <v>ISTRUTT.DIR.VO </v>
      </c>
      <c r="J68" s="25">
        <f>VLOOKUP(H68,QUALIFICHE!A:J,3)</f>
        <v>22203.89</v>
      </c>
      <c r="K68" s="51">
        <v>0</v>
      </c>
      <c r="L68" s="51">
        <v>482.89</v>
      </c>
      <c r="M68" s="51">
        <v>0</v>
      </c>
      <c r="N68" s="25">
        <f>VLOOKUP($H68,QUALIFICHE!$A:$J,5)</f>
        <v>0</v>
      </c>
      <c r="O68" s="25">
        <f aca="true" t="shared" si="29" ref="O68:O73">ROUND((J68+K68+L68+M68)/12,2)</f>
        <v>1890.57</v>
      </c>
      <c r="P68" s="25">
        <f t="shared" si="4"/>
        <v>0</v>
      </c>
      <c r="Q68" s="101">
        <v>0</v>
      </c>
      <c r="R68" s="25">
        <f>VLOOKUP($H68,QUALIFICHE!$A:$J,8)</f>
        <v>0</v>
      </c>
      <c r="S68" s="51">
        <v>0</v>
      </c>
      <c r="T68" s="51">
        <v>0</v>
      </c>
      <c r="U68" s="25">
        <f>VLOOKUP($H68,QUALIFICHE!$A:$J,9)</f>
        <v>59.4</v>
      </c>
      <c r="V68" s="25">
        <f>VLOOKUP($H68,QUALIFICHE!$A:$J,10)</f>
        <v>563.4</v>
      </c>
      <c r="W68" s="25">
        <f>VLOOKUP($H68,QUALIFICHE!$A:$K,11)</f>
        <v>166.56</v>
      </c>
      <c r="X68" s="73">
        <f aca="true" t="shared" si="30" ref="X68:X73">J68+K68+L68+N68+O68+P68+Q68+M68+R68+S68+T68+U68+V68+W68</f>
        <v>25366.710000000003</v>
      </c>
      <c r="Y68" s="71">
        <f aca="true" t="shared" si="31" ref="Y68:Y73">X68-Q68</f>
        <v>25366.710000000003</v>
      </c>
      <c r="Z68" s="71">
        <f aca="true" t="shared" si="32" ref="Z68:Z73">Y68-U68-V68-T68</f>
        <v>24743.91</v>
      </c>
      <c r="AA68" s="25">
        <f>VLOOKUP($H68,QUALIFICHE!$A:$J,7)</f>
        <v>1.3</v>
      </c>
      <c r="AB68" s="72">
        <f aca="true" t="shared" si="33" ref="AB68:AB73">Y68*AA68/100</f>
        <v>329.76723000000004</v>
      </c>
    </row>
    <row r="69" spans="1:28" s="15" customFormat="1" ht="15" customHeight="1" outlineLevel="2">
      <c r="A69" s="48">
        <v>2</v>
      </c>
      <c r="B69" s="48" t="s">
        <v>78</v>
      </c>
      <c r="C69" s="49">
        <v>340</v>
      </c>
      <c r="D69" s="43">
        <f>VLOOKUP($C69,CAPITOLI!$A:$E,3)</f>
        <v>9</v>
      </c>
      <c r="E69" s="44">
        <f>VLOOKUP($C69,CAPITOLI!$A:$E,4)</f>
        <v>1</v>
      </c>
      <c r="F69" s="45">
        <f>VLOOKUP($C69,CAPITOLI!$A:$E,5)</f>
        <v>1</v>
      </c>
      <c r="G69" s="49" t="s">
        <v>2</v>
      </c>
      <c r="H69" s="50" t="s">
        <v>324</v>
      </c>
      <c r="I69" s="46" t="str">
        <f>VLOOKUP(H69,QUALIFICHE!A:B,2,TRUE)</f>
        <v>ISTRUTTORE     </v>
      </c>
      <c r="J69" s="25">
        <f>VLOOKUP(H69,QUALIFICHE!A:J,3)</f>
        <v>19917.86</v>
      </c>
      <c r="K69" s="51">
        <v>0</v>
      </c>
      <c r="L69" s="51">
        <v>446.08</v>
      </c>
      <c r="M69" s="51">
        <v>0</v>
      </c>
      <c r="N69" s="25">
        <f>VLOOKUP($H69,QUALIFICHE!$A:$J,5)</f>
        <v>0</v>
      </c>
      <c r="O69" s="25">
        <f t="shared" si="29"/>
        <v>1697</v>
      </c>
      <c r="P69" s="25">
        <f aca="true" t="shared" si="34" ref="P69:P76">N69/12</f>
        <v>0</v>
      </c>
      <c r="Q69" s="101">
        <v>0</v>
      </c>
      <c r="R69" s="25">
        <f>VLOOKUP($H69,QUALIFICHE!$A:$J,8)</f>
        <v>0</v>
      </c>
      <c r="S69" s="51">
        <v>0</v>
      </c>
      <c r="T69" s="51">
        <v>0</v>
      </c>
      <c r="U69" s="25">
        <f>VLOOKUP($H69,QUALIFICHE!$A:$J,9)</f>
        <v>52.08</v>
      </c>
      <c r="V69" s="25">
        <f>VLOOKUP($H69,QUALIFICHE!$A:$J,10)</f>
        <v>497.52</v>
      </c>
      <c r="W69" s="25">
        <f>VLOOKUP($H69,QUALIFICHE!$A:$K,11)</f>
        <v>149.4</v>
      </c>
      <c r="X69" s="73">
        <f t="shared" si="30"/>
        <v>22759.940000000006</v>
      </c>
      <c r="Y69" s="71">
        <f t="shared" si="31"/>
        <v>22759.940000000006</v>
      </c>
      <c r="Z69" s="71">
        <f t="shared" si="32"/>
        <v>22210.340000000004</v>
      </c>
      <c r="AA69" s="25">
        <f>VLOOKUP($H69,QUALIFICHE!$A:$J,7)</f>
        <v>1.3</v>
      </c>
      <c r="AB69" s="72">
        <f t="shared" si="33"/>
        <v>295.8792200000001</v>
      </c>
    </row>
    <row r="70" spans="1:28" s="15" customFormat="1" ht="15" customHeight="1" outlineLevel="2">
      <c r="A70" s="48">
        <v>3</v>
      </c>
      <c r="B70" s="48" t="s">
        <v>79</v>
      </c>
      <c r="C70" s="49">
        <v>340</v>
      </c>
      <c r="D70" s="43">
        <f>VLOOKUP($C70,CAPITOLI!$A:$E,3)</f>
        <v>9</v>
      </c>
      <c r="E70" s="44">
        <f>VLOOKUP($C70,CAPITOLI!$A:$E,4)</f>
        <v>1</v>
      </c>
      <c r="F70" s="45">
        <f>VLOOKUP($C70,CAPITOLI!$A:$E,5)</f>
        <v>1</v>
      </c>
      <c r="G70" s="49" t="s">
        <v>2</v>
      </c>
      <c r="H70" s="50" t="s">
        <v>31</v>
      </c>
      <c r="I70" s="46" t="str">
        <f>VLOOKUP(H70,QUALIFICHE!A:B,2,TRUE)</f>
        <v>COLLABORATORE</v>
      </c>
      <c r="J70" s="25">
        <f>VLOOKUP(H70,QUALIFICHE!A:J,3)</f>
        <v>18808.79</v>
      </c>
      <c r="K70" s="51">
        <v>0</v>
      </c>
      <c r="L70" s="51">
        <v>559.45</v>
      </c>
      <c r="M70" s="51">
        <v>0</v>
      </c>
      <c r="N70" s="25">
        <f>VLOOKUP($H70,QUALIFICHE!$A:$J,5)</f>
        <v>55.32</v>
      </c>
      <c r="O70" s="25">
        <f t="shared" si="29"/>
        <v>1614.02</v>
      </c>
      <c r="P70" s="25">
        <f t="shared" si="34"/>
        <v>4.61</v>
      </c>
      <c r="Q70" s="101">
        <v>0</v>
      </c>
      <c r="R70" s="25">
        <f>VLOOKUP($H70,QUALIFICHE!$A:$J,8)</f>
        <v>0</v>
      </c>
      <c r="S70" s="51">
        <v>0</v>
      </c>
      <c r="T70" s="51">
        <v>0</v>
      </c>
      <c r="U70" s="25">
        <f>VLOOKUP($H70,QUALIFICHE!$A:$J,9)</f>
        <v>44.76</v>
      </c>
      <c r="V70" s="25">
        <f>VLOOKUP($H70,QUALIFICHE!$A:$J,10)</f>
        <v>426.96</v>
      </c>
      <c r="W70" s="25">
        <f>VLOOKUP($H70,QUALIFICHE!$A:$K,11)</f>
        <v>141.12</v>
      </c>
      <c r="X70" s="73">
        <f t="shared" si="30"/>
        <v>21655.03</v>
      </c>
      <c r="Y70" s="71">
        <f t="shared" si="31"/>
        <v>21655.03</v>
      </c>
      <c r="Z70" s="71">
        <f t="shared" si="32"/>
        <v>21183.31</v>
      </c>
      <c r="AA70" s="25">
        <f>VLOOKUP($H70,QUALIFICHE!$A:$J,7)</f>
        <v>1.9</v>
      </c>
      <c r="AB70" s="72">
        <f t="shared" si="33"/>
        <v>411.4455699999999</v>
      </c>
    </row>
    <row r="71" spans="1:28" s="15" customFormat="1" ht="15" customHeight="1" outlineLevel="2">
      <c r="A71" s="48">
        <v>4</v>
      </c>
      <c r="B71" s="48" t="s">
        <v>433</v>
      </c>
      <c r="C71" s="49">
        <v>340</v>
      </c>
      <c r="D71" s="43">
        <f>VLOOKUP($C71,CAPITOLI!$A:$E,3)</f>
        <v>9</v>
      </c>
      <c r="E71" s="44">
        <f>VLOOKUP($C71,CAPITOLI!$A:$E,4)</f>
        <v>1</v>
      </c>
      <c r="F71" s="45">
        <f>VLOOKUP($C71,CAPITOLI!$A:$E,5)</f>
        <v>1</v>
      </c>
      <c r="G71" s="49" t="s">
        <v>2</v>
      </c>
      <c r="H71" s="50" t="s">
        <v>27</v>
      </c>
      <c r="I71" s="46" t="str">
        <f>VLOOKUP(H71,QUALIFICHE!A:B,2,TRUE)</f>
        <v>ISTRUTTORE     </v>
      </c>
      <c r="J71" s="25">
        <f>VLOOKUP(H71,QUALIFICHE!A:J,3)</f>
        <v>19454.15</v>
      </c>
      <c r="K71" s="51">
        <v>0</v>
      </c>
      <c r="L71" s="51">
        <v>0</v>
      </c>
      <c r="M71" s="51">
        <v>0</v>
      </c>
      <c r="N71" s="25">
        <f>VLOOKUP($H71,QUALIFICHE!$A:$J,5)</f>
        <v>0</v>
      </c>
      <c r="O71" s="25">
        <f t="shared" si="29"/>
        <v>1621.18</v>
      </c>
      <c r="P71" s="25">
        <f t="shared" si="34"/>
        <v>0</v>
      </c>
      <c r="Q71" s="103">
        <v>570</v>
      </c>
      <c r="R71" s="25">
        <f>VLOOKUP($H71,QUALIFICHE!$A:$J,8)</f>
        <v>0</v>
      </c>
      <c r="S71" s="51">
        <v>0</v>
      </c>
      <c r="T71" s="51">
        <v>0</v>
      </c>
      <c r="U71" s="25">
        <v>52.08</v>
      </c>
      <c r="V71" s="25">
        <f>VLOOKUP($H71,QUALIFICHE!$A:$J,10)</f>
        <v>497.52</v>
      </c>
      <c r="W71" s="25">
        <f>VLOOKUP($H71,QUALIFICHE!$A:$K,11)</f>
        <v>145.92</v>
      </c>
      <c r="X71" s="73">
        <f t="shared" si="30"/>
        <v>22340.850000000002</v>
      </c>
      <c r="Y71" s="71">
        <f t="shared" si="31"/>
        <v>21770.850000000002</v>
      </c>
      <c r="Z71" s="71">
        <f t="shared" si="32"/>
        <v>21221.25</v>
      </c>
      <c r="AA71" s="25">
        <f>VLOOKUP($H71,QUALIFICHE!$A:$J,7)</f>
        <v>1.3</v>
      </c>
      <c r="AB71" s="72">
        <f t="shared" si="33"/>
        <v>283.02105000000006</v>
      </c>
    </row>
    <row r="72" spans="1:28" s="15" customFormat="1" ht="15" customHeight="1" outlineLevel="2">
      <c r="A72" s="48">
        <v>5</v>
      </c>
      <c r="B72" s="48" t="s">
        <v>437</v>
      </c>
      <c r="C72" s="49">
        <v>340</v>
      </c>
      <c r="D72" s="43">
        <f>VLOOKUP($C72,CAPITOLI!$A:$E,3)</f>
        <v>9</v>
      </c>
      <c r="E72" s="44">
        <f>VLOOKUP($C72,CAPITOLI!$A:$E,4)</f>
        <v>1</v>
      </c>
      <c r="F72" s="45">
        <f>VLOOKUP($C72,CAPITOLI!$A:$E,5)</f>
        <v>1</v>
      </c>
      <c r="G72" s="49" t="s">
        <v>2</v>
      </c>
      <c r="H72" s="50" t="s">
        <v>6</v>
      </c>
      <c r="I72" s="46" t="str">
        <f>VLOOKUP(H72,QUALIFICHE!A:B,2,TRUE)</f>
        <v>FUNZIONARIO</v>
      </c>
      <c r="J72" s="25">
        <f>VLOOKUP(H72,QUALIFICHE!A:J,3)</f>
        <v>24338.14</v>
      </c>
      <c r="K72" s="51">
        <v>0</v>
      </c>
      <c r="L72" s="51">
        <v>0</v>
      </c>
      <c r="M72" s="51">
        <v>10300</v>
      </c>
      <c r="N72" s="25">
        <f>VLOOKUP($H72,QUALIFICHE!$A:$J,5)</f>
        <v>0</v>
      </c>
      <c r="O72" s="25">
        <f t="shared" si="29"/>
        <v>2886.51</v>
      </c>
      <c r="P72" s="25">
        <f t="shared" si="34"/>
        <v>0</v>
      </c>
      <c r="Q72" s="101">
        <v>0</v>
      </c>
      <c r="R72" s="25">
        <f>VLOOKUP($H72,QUALIFICHE!$A:$J,8)</f>
        <v>0</v>
      </c>
      <c r="S72" s="51">
        <v>0</v>
      </c>
      <c r="T72" s="51">
        <v>0</v>
      </c>
      <c r="U72" s="25">
        <f>VLOOKUP($H72,QUALIFICHE!$A:$J,9)</f>
        <v>59.4</v>
      </c>
      <c r="V72" s="25">
        <f>VLOOKUP($H72,QUALIFICHE!$A:$J,10)</f>
        <v>563.4</v>
      </c>
      <c r="W72" s="25">
        <f>VLOOKUP($H72,QUALIFICHE!$A:$K,11)</f>
        <v>182.52</v>
      </c>
      <c r="X72" s="73">
        <f t="shared" si="30"/>
        <v>38329.97</v>
      </c>
      <c r="Y72" s="71">
        <f t="shared" si="31"/>
        <v>38329.97</v>
      </c>
      <c r="Z72" s="71">
        <f t="shared" si="32"/>
        <v>37707.17</v>
      </c>
      <c r="AA72" s="25">
        <f>VLOOKUP($H72,QUALIFICHE!$A:$J,7)</f>
        <v>1.3</v>
      </c>
      <c r="AB72" s="72">
        <f t="shared" si="33"/>
        <v>498.28961000000004</v>
      </c>
    </row>
    <row r="73" spans="1:28" s="15" customFormat="1" ht="15" customHeight="1" outlineLevel="2">
      <c r="A73" s="48">
        <v>6</v>
      </c>
      <c r="B73" s="48" t="s">
        <v>462</v>
      </c>
      <c r="C73" s="49">
        <v>340</v>
      </c>
      <c r="D73" s="43">
        <f>VLOOKUP($C73,CAPITOLI!$A:$E,3)</f>
        <v>9</v>
      </c>
      <c r="E73" s="44">
        <f>VLOOKUP($C73,CAPITOLI!$A:$E,4)</f>
        <v>1</v>
      </c>
      <c r="F73" s="45">
        <f>VLOOKUP($C73,CAPITOLI!$A:$E,5)</f>
        <v>1</v>
      </c>
      <c r="G73" s="49" t="s">
        <v>2</v>
      </c>
      <c r="H73" s="50" t="s">
        <v>10</v>
      </c>
      <c r="I73" s="46" t="str">
        <f>VLOOKUP(H73,QUALIFICHE!A:B,2,TRUE)</f>
        <v>ISTRUTT.DIR.VO </v>
      </c>
      <c r="J73" s="25">
        <f>VLOOKUP(H73,QUALIFICHE!A:J,3)</f>
        <v>21166.71</v>
      </c>
      <c r="K73" s="51">
        <v>0</v>
      </c>
      <c r="L73" s="51">
        <v>0</v>
      </c>
      <c r="M73" s="51">
        <v>0</v>
      </c>
      <c r="N73" s="25">
        <f>VLOOKUP($H73,QUALIFICHE!$A:$J,5)</f>
        <v>0</v>
      </c>
      <c r="O73" s="25">
        <f t="shared" si="29"/>
        <v>1763.89</v>
      </c>
      <c r="P73" s="25">
        <f t="shared" si="34"/>
        <v>0</v>
      </c>
      <c r="Q73" s="103"/>
      <c r="R73" s="25">
        <f>VLOOKUP($H73,QUALIFICHE!$A:$J,8)</f>
        <v>0</v>
      </c>
      <c r="S73" s="51">
        <v>0</v>
      </c>
      <c r="T73" s="51">
        <v>0</v>
      </c>
      <c r="U73" s="25">
        <f>VLOOKUP($H73,QUALIFICHE!$A:$J,9)</f>
        <v>59.4</v>
      </c>
      <c r="V73" s="25">
        <f>VLOOKUP($H73,QUALIFICHE!$A:$J,10)</f>
        <v>563.4</v>
      </c>
      <c r="W73" s="25">
        <f>VLOOKUP($H73,QUALIFICHE!$A:$K,11)</f>
        <v>158.76</v>
      </c>
      <c r="X73" s="73">
        <f t="shared" si="30"/>
        <v>23712.16</v>
      </c>
      <c r="Y73" s="71">
        <f t="shared" si="31"/>
        <v>23712.16</v>
      </c>
      <c r="Z73" s="71">
        <f t="shared" si="32"/>
        <v>23089.359999999997</v>
      </c>
      <c r="AA73" s="25">
        <f>VLOOKUP($H73,QUALIFICHE!$A:$J,7)</f>
        <v>1.3</v>
      </c>
      <c r="AB73" s="72">
        <f t="shared" si="33"/>
        <v>308.25808</v>
      </c>
    </row>
    <row r="74" spans="1:28" s="15" customFormat="1" ht="15" customHeight="1" outlineLevel="2">
      <c r="A74" s="48">
        <v>7</v>
      </c>
      <c r="B74" s="48" t="s">
        <v>45</v>
      </c>
      <c r="C74" s="49">
        <v>340</v>
      </c>
      <c r="D74" s="43">
        <f>VLOOKUP($C74,CAPITOLI!$A:$E,3)</f>
        <v>9</v>
      </c>
      <c r="E74" s="44">
        <f>VLOOKUP($C74,CAPITOLI!$A:$E,4)</f>
        <v>1</v>
      </c>
      <c r="F74" s="45">
        <f>VLOOKUP($C74,CAPITOLI!$A:$E,5)</f>
        <v>1</v>
      </c>
      <c r="G74" s="49" t="s">
        <v>2</v>
      </c>
      <c r="H74" s="50" t="s">
        <v>28</v>
      </c>
      <c r="I74" s="46" t="str">
        <f>VLOOKUP(H74,QUALIFICHE!A:B,2,TRUE)</f>
        <v>ISTRUTTORE     </v>
      </c>
      <c r="J74" s="25">
        <f>VLOOKUP(H74,QUALIFICHE!A:J,3)</f>
        <v>21120.11</v>
      </c>
      <c r="K74" s="51">
        <v>0</v>
      </c>
      <c r="L74" s="51">
        <v>521.65</v>
      </c>
      <c r="M74" s="51">
        <v>0</v>
      </c>
      <c r="N74" s="25">
        <f>VLOOKUP($H74,QUALIFICHE!$A:$J,5)</f>
        <v>0</v>
      </c>
      <c r="O74" s="25">
        <f>ROUND((J74+K74+L74+M74)/12,2)</f>
        <v>1803.48</v>
      </c>
      <c r="P74" s="25">
        <f t="shared" si="34"/>
        <v>0</v>
      </c>
      <c r="Q74" s="101">
        <v>0</v>
      </c>
      <c r="R74" s="89">
        <v>464.76</v>
      </c>
      <c r="S74" s="51">
        <v>0</v>
      </c>
      <c r="T74" s="51">
        <v>340.92</v>
      </c>
      <c r="U74" s="25">
        <f>VLOOKUP($H74,QUALIFICHE!$A:$J,9)</f>
        <v>52.08</v>
      </c>
      <c r="V74" s="25">
        <f>VLOOKUP($H74,QUALIFICHE!$A:$J,10)</f>
        <v>497.52</v>
      </c>
      <c r="W74" s="25">
        <f>VLOOKUP($H74,QUALIFICHE!$A:$K,11)</f>
        <v>158.4</v>
      </c>
      <c r="X74" s="73">
        <f>J74+K74+L74+N74+O74+P74+Q74+M74+R74+S74+T74+U74+V74+W74</f>
        <v>24958.920000000002</v>
      </c>
      <c r="Y74" s="71">
        <f>X74-Q74</f>
        <v>24958.920000000002</v>
      </c>
      <c r="Z74" s="71">
        <f>Y74-U74-V74-T74</f>
        <v>24068.4</v>
      </c>
      <c r="AA74" s="25">
        <f>VLOOKUP($H74,QUALIFICHE!$A:$J,7)</f>
        <v>1.3</v>
      </c>
      <c r="AB74" s="72">
        <f>Y74*AA74/100</f>
        <v>324.46596000000005</v>
      </c>
    </row>
    <row r="75" spans="1:28" s="15" customFormat="1" ht="15" customHeight="1" outlineLevel="2">
      <c r="A75" s="48">
        <v>8</v>
      </c>
      <c r="B75" s="48" t="s">
        <v>72</v>
      </c>
      <c r="C75" s="49">
        <v>340</v>
      </c>
      <c r="D75" s="43">
        <f>VLOOKUP($C75,CAPITOLI!$A:$E,3)</f>
        <v>9</v>
      </c>
      <c r="E75" s="44">
        <f>VLOOKUP($C75,CAPITOLI!$A:$E,4)</f>
        <v>1</v>
      </c>
      <c r="F75" s="45">
        <f>VLOOKUP($C75,CAPITOLI!$A:$E,5)</f>
        <v>1</v>
      </c>
      <c r="G75" s="49" t="s">
        <v>2</v>
      </c>
      <c r="H75" s="50" t="s">
        <v>316</v>
      </c>
      <c r="I75" s="46" t="str">
        <f>VLOOKUP(H75,QUALIFICHE!A:B,2,TRUE)</f>
        <v>ESECUTORE      </v>
      </c>
      <c r="J75" s="110">
        <f>VLOOKUP(H75,QUALIFICHE!A:J,3)</f>
        <v>18808.79</v>
      </c>
      <c r="K75" s="51">
        <v>0</v>
      </c>
      <c r="L75" s="51">
        <v>500.06</v>
      </c>
      <c r="M75" s="51">
        <v>0</v>
      </c>
      <c r="N75" s="25">
        <f>VLOOKUP($H75,QUALIFICHE!$A:$J,5)</f>
        <v>0</v>
      </c>
      <c r="O75" s="25">
        <f>ROUND((J75+K75+L75+M75)/12,2)</f>
        <v>1609.07</v>
      </c>
      <c r="P75" s="25">
        <f t="shared" si="34"/>
        <v>0</v>
      </c>
      <c r="Q75" s="103">
        <v>2333.04</v>
      </c>
      <c r="R75" s="25">
        <f>VLOOKUP($H75,QUALIFICHE!$A:$J,8)</f>
        <v>64.56</v>
      </c>
      <c r="S75" s="51">
        <v>0</v>
      </c>
      <c r="T75" s="51">
        <v>0</v>
      </c>
      <c r="U75" s="25">
        <f>VLOOKUP($H75,QUALIFICHE!$A:$J,9)</f>
        <v>44.76</v>
      </c>
      <c r="V75" s="25">
        <f>VLOOKUP($H75,QUALIFICHE!$A:$J,10)</f>
        <v>426.96</v>
      </c>
      <c r="W75" s="25">
        <f>VLOOKUP($H75,QUALIFICHE!$A:$K,11)</f>
        <v>141.12</v>
      </c>
      <c r="X75" s="73">
        <f>J75+K75+L75+N75+O75+P75+Q75+M75+R75+S75+T75+U75+V75+W75</f>
        <v>23928.36</v>
      </c>
      <c r="Y75" s="71">
        <f>X75-Q75</f>
        <v>21595.32</v>
      </c>
      <c r="Z75" s="71">
        <f>Y75-U75-V75-T75</f>
        <v>21123.600000000002</v>
      </c>
      <c r="AA75" s="25">
        <f>VLOOKUP($H75,QUALIFICHE!$A:$J,7)</f>
        <v>1.9</v>
      </c>
      <c r="AB75" s="72">
        <f>Y75*AA75/100</f>
        <v>410.31108</v>
      </c>
    </row>
    <row r="76" spans="1:28" s="15" customFormat="1" ht="15" customHeight="1" outlineLevel="2">
      <c r="A76" s="48">
        <v>9</v>
      </c>
      <c r="B76" s="48" t="s">
        <v>68</v>
      </c>
      <c r="C76" s="49">
        <v>340</v>
      </c>
      <c r="D76" s="43">
        <f>VLOOKUP($C76,CAPITOLI!$A:$E,3)</f>
        <v>9</v>
      </c>
      <c r="E76" s="44">
        <f>VLOOKUP($C76,CAPITOLI!$A:$E,4)</f>
        <v>1</v>
      </c>
      <c r="F76" s="45">
        <f>VLOOKUP($C76,CAPITOLI!$A:$E,5)</f>
        <v>1</v>
      </c>
      <c r="G76" s="49" t="s">
        <v>2</v>
      </c>
      <c r="H76" s="50" t="s">
        <v>325</v>
      </c>
      <c r="I76" s="46" t="str">
        <f>VLOOKUP(H76,QUALIFICHE!A:B,2,TRUE)</f>
        <v>ISTRUTT.DIR.VO </v>
      </c>
      <c r="J76" s="110">
        <f>VLOOKUP(H76,QUALIFICHE!A:J,3)</f>
        <v>22203.89</v>
      </c>
      <c r="K76" s="51">
        <v>0</v>
      </c>
      <c r="L76" s="51">
        <v>527.49</v>
      </c>
      <c r="M76" s="51">
        <v>0</v>
      </c>
      <c r="N76" s="25">
        <f>VLOOKUP($H76,QUALIFICHE!$A:$J,5)</f>
        <v>0</v>
      </c>
      <c r="O76" s="25">
        <f>ROUND((J76+K76+L76+M76)/12,2)</f>
        <v>1894.28</v>
      </c>
      <c r="P76" s="25">
        <f t="shared" si="34"/>
        <v>0</v>
      </c>
      <c r="Q76" s="101">
        <v>0</v>
      </c>
      <c r="R76" s="25">
        <f>VLOOKUP($H76,QUALIFICHE!$A:$J,8)</f>
        <v>0</v>
      </c>
      <c r="S76" s="51">
        <v>0</v>
      </c>
      <c r="T76" s="51">
        <v>0</v>
      </c>
      <c r="U76" s="25">
        <f>VLOOKUP($H76,QUALIFICHE!$A:$J,9)</f>
        <v>59.4</v>
      </c>
      <c r="V76" s="25">
        <f>VLOOKUP($H76,QUALIFICHE!$A:$J,10)</f>
        <v>563.4</v>
      </c>
      <c r="W76" s="25">
        <f>VLOOKUP($H76,QUALIFICHE!$A:$K,11)</f>
        <v>166.56</v>
      </c>
      <c r="X76" s="73">
        <f>J76+K76+L76+N76+O76+P76+Q76+M76+R76+S76+T76+U76+V76+W76</f>
        <v>25415.020000000004</v>
      </c>
      <c r="Y76" s="71">
        <f>X76-Q76</f>
        <v>25415.020000000004</v>
      </c>
      <c r="Z76" s="71">
        <f>Y76-U76-V76-T76</f>
        <v>24792.22</v>
      </c>
      <c r="AA76" s="25">
        <f>VLOOKUP($H76,QUALIFICHE!$A:$J,7)</f>
        <v>1.3</v>
      </c>
      <c r="AB76" s="72">
        <f>Y76*AA76/100</f>
        <v>330.39526000000006</v>
      </c>
    </row>
    <row r="77" spans="1:28" s="15" customFormat="1" ht="15" customHeight="1" outlineLevel="2">
      <c r="A77" s="48">
        <v>10</v>
      </c>
      <c r="B77" s="48" t="s">
        <v>53</v>
      </c>
      <c r="C77" s="49">
        <v>340</v>
      </c>
      <c r="D77" s="43">
        <f>VLOOKUP($C77,CAPITOLI!$A:$E,3)</f>
        <v>9</v>
      </c>
      <c r="E77" s="44">
        <f>VLOOKUP($C77,CAPITOLI!$A:$E,4)</f>
        <v>1</v>
      </c>
      <c r="F77" s="45">
        <f>VLOOKUP($C77,CAPITOLI!$A:$E,5)</f>
        <v>1</v>
      </c>
      <c r="G77" s="49" t="s">
        <v>2</v>
      </c>
      <c r="H77" s="50" t="s">
        <v>13</v>
      </c>
      <c r="I77" s="46" t="str">
        <f>VLOOKUP(H77,QUALIFICHE!A:B,2,TRUE)</f>
        <v>COLLABORATORE</v>
      </c>
      <c r="J77" s="25">
        <f>VLOOKUP(H77,QUALIFICHE!A:J,3)</f>
        <v>19143.58</v>
      </c>
      <c r="K77" s="51">
        <v>0</v>
      </c>
      <c r="L77" s="51">
        <v>456.87</v>
      </c>
      <c r="M77" s="51">
        <v>0</v>
      </c>
      <c r="N77" s="25">
        <f>VLOOKUP($H77,QUALIFICHE!$A:$J,5)</f>
        <v>55.32</v>
      </c>
      <c r="O77" s="25">
        <f>ROUND((J77+K77+L77+M77)/12,2)</f>
        <v>1633.37</v>
      </c>
      <c r="P77" s="25">
        <f>N77/12</f>
        <v>4.61</v>
      </c>
      <c r="Q77" s="103">
        <v>989.76</v>
      </c>
      <c r="R77" s="25">
        <f>VLOOKUP($H77,QUALIFICHE!$A:$J,8)</f>
        <v>0</v>
      </c>
      <c r="S77" s="51">
        <v>0</v>
      </c>
      <c r="T77" s="51">
        <v>0</v>
      </c>
      <c r="U77" s="25">
        <f>VLOOKUP($H77,QUALIFICHE!$A:$J,9)</f>
        <v>44.76</v>
      </c>
      <c r="V77" s="25">
        <f>VLOOKUP($H77,QUALIFICHE!$A:$J,10)</f>
        <v>426.96</v>
      </c>
      <c r="W77" s="25">
        <f>VLOOKUP($H77,QUALIFICHE!$A:$K,11)</f>
        <v>143.52</v>
      </c>
      <c r="X77" s="73">
        <f>J77+K77+L77+N77+O77+P77+Q77+M77+R77+S77+T77+U77+V77+W77</f>
        <v>22898.749999999996</v>
      </c>
      <c r="Y77" s="71">
        <f>X77-Q77</f>
        <v>21908.989999999998</v>
      </c>
      <c r="Z77" s="71">
        <f>Y77-U77-V77-T77</f>
        <v>21437.27</v>
      </c>
      <c r="AA77" s="25">
        <f>VLOOKUP($H77,QUALIFICHE!$A:$J,7)</f>
        <v>1.9</v>
      </c>
      <c r="AB77" s="72">
        <f>Y77*AA77/100</f>
        <v>416.2708099999999</v>
      </c>
    </row>
    <row r="78" spans="1:28" s="84" customFormat="1" ht="15" customHeight="1" outlineLevel="1">
      <c r="A78" s="75"/>
      <c r="B78" s="75"/>
      <c r="C78" s="76" t="s">
        <v>375</v>
      </c>
      <c r="D78" s="77"/>
      <c r="E78" s="74"/>
      <c r="F78" s="78"/>
      <c r="G78" s="76"/>
      <c r="H78" s="79"/>
      <c r="I78" s="80"/>
      <c r="J78" s="81">
        <f aca="true" t="shared" si="35" ref="J78:O78">SUBTOTAL(9,J68:J76)</f>
        <v>188022.33000000002</v>
      </c>
      <c r="K78" s="82">
        <f t="shared" si="35"/>
        <v>0</v>
      </c>
      <c r="L78" s="82">
        <f t="shared" si="35"/>
        <v>3037.62</v>
      </c>
      <c r="M78" s="82">
        <f t="shared" si="35"/>
        <v>10300</v>
      </c>
      <c r="N78" s="81">
        <f t="shared" si="35"/>
        <v>55.32</v>
      </c>
      <c r="O78" s="81">
        <f t="shared" si="35"/>
        <v>16780</v>
      </c>
      <c r="P78" s="81">
        <f aca="true" t="shared" si="36" ref="P78:X78">SUBTOTAL(9,P68:P76)</f>
        <v>4.61</v>
      </c>
      <c r="Q78" s="81">
        <f t="shared" si="36"/>
        <v>2903.04</v>
      </c>
      <c r="R78" s="81">
        <f t="shared" si="36"/>
        <v>529.3199999999999</v>
      </c>
      <c r="S78" s="81">
        <f t="shared" si="36"/>
        <v>0</v>
      </c>
      <c r="T78" s="81">
        <f t="shared" si="36"/>
        <v>340.92</v>
      </c>
      <c r="U78" s="81">
        <f t="shared" si="36"/>
        <v>483.3599999999999</v>
      </c>
      <c r="V78" s="81">
        <f t="shared" si="36"/>
        <v>4600.08</v>
      </c>
      <c r="W78" s="81">
        <f t="shared" si="36"/>
        <v>1410.3600000000001</v>
      </c>
      <c r="X78" s="81">
        <f t="shared" si="36"/>
        <v>228466.96000000002</v>
      </c>
      <c r="Y78" s="83">
        <f>SUBTOTAL(9,Y12:Y73)</f>
        <v>1197817.0999999999</v>
      </c>
      <c r="Z78" s="83">
        <f>SUBTOTAL(9,Z12:Z73)</f>
        <v>1171969.8200000003</v>
      </c>
      <c r="AA78" s="81"/>
      <c r="AB78" s="83">
        <f>SUBTOTAL(9,AB12:AB73)</f>
        <v>18367.61384</v>
      </c>
    </row>
    <row r="79" spans="1:28" s="15" customFormat="1" ht="15" customHeight="1" outlineLevel="2">
      <c r="A79" s="48">
        <v>1</v>
      </c>
      <c r="B79" s="48" t="s">
        <v>43</v>
      </c>
      <c r="C79" s="49">
        <v>470</v>
      </c>
      <c r="D79" s="43">
        <f>VLOOKUP($C79,CAPITOLI!$A:$E,3)</f>
        <v>10</v>
      </c>
      <c r="E79" s="44">
        <f>VLOOKUP($C79,CAPITOLI!$A:$E,4)</f>
        <v>1</v>
      </c>
      <c r="F79" s="45">
        <f>VLOOKUP($C79,CAPITOLI!$A:$E,5)</f>
        <v>1</v>
      </c>
      <c r="G79" s="49" t="s">
        <v>2</v>
      </c>
      <c r="H79" s="50" t="s">
        <v>23</v>
      </c>
      <c r="I79" s="46" t="str">
        <f>VLOOKUP(H79,QUALIFICHE!A:B,2,TRUE)</f>
        <v>ISTRUTTORE     </v>
      </c>
      <c r="J79" s="25">
        <f>VLOOKUP(H79,QUALIFICHE!A:J,3)</f>
        <v>20472.62</v>
      </c>
      <c r="K79" s="51">
        <v>0</v>
      </c>
      <c r="L79" s="51">
        <v>521.65</v>
      </c>
      <c r="M79" s="51">
        <v>0</v>
      </c>
      <c r="N79" s="25">
        <f>VLOOKUP($H79,QUALIFICHE!$A:$J,5)</f>
        <v>0</v>
      </c>
      <c r="O79" s="25">
        <f aca="true" t="shared" si="37" ref="O79:O84">ROUND((J79+K79+L79+M79)/12,2)</f>
        <v>1749.52</v>
      </c>
      <c r="P79" s="25">
        <f aca="true" t="shared" si="38" ref="P79:P84">N79/12</f>
        <v>0</v>
      </c>
      <c r="Q79" s="101">
        <v>0</v>
      </c>
      <c r="R79" s="89">
        <v>464.76</v>
      </c>
      <c r="S79" s="51">
        <v>0</v>
      </c>
      <c r="T79" s="51">
        <v>340.92</v>
      </c>
      <c r="U79" s="25">
        <f>VLOOKUP($H79,QUALIFICHE!$A:$J,9)</f>
        <v>52.08</v>
      </c>
      <c r="V79" s="25">
        <f>VLOOKUP($H79,QUALIFICHE!$A:$J,10)</f>
        <v>497.52</v>
      </c>
      <c r="W79" s="25">
        <f>VLOOKUP($H79,QUALIFICHE!$A:$K,11)</f>
        <v>153.6</v>
      </c>
      <c r="X79" s="73">
        <f aca="true" t="shared" si="39" ref="X79:X84">J79+K79+L79+N79+O79+P79+Q79+M79+R79+S79+T79+U79+V79+W79</f>
        <v>24252.67</v>
      </c>
      <c r="Y79" s="71">
        <f aca="true" t="shared" si="40" ref="Y79:Y86">X79-Q79</f>
        <v>24252.67</v>
      </c>
      <c r="Z79" s="71">
        <f aca="true" t="shared" si="41" ref="Z79:Z84">Y79-U79-V79-T79</f>
        <v>23362.149999999998</v>
      </c>
      <c r="AA79" s="25">
        <f>VLOOKUP($H79,QUALIFICHE!$A:$J,7)</f>
        <v>1.3</v>
      </c>
      <c r="AB79" s="72">
        <f aca="true" t="shared" si="42" ref="AB79:AB86">Y79*AA79/100</f>
        <v>315.28470999999996</v>
      </c>
    </row>
    <row r="80" spans="1:28" s="15" customFormat="1" ht="15" customHeight="1" outlineLevel="2">
      <c r="A80" s="48">
        <v>2</v>
      </c>
      <c r="B80" s="48" t="s">
        <v>47</v>
      </c>
      <c r="C80" s="49">
        <v>470</v>
      </c>
      <c r="D80" s="43">
        <f>VLOOKUP($C80,CAPITOLI!$A:$E,3)</f>
        <v>10</v>
      </c>
      <c r="E80" s="44">
        <f>VLOOKUP($C80,CAPITOLI!$A:$E,4)</f>
        <v>1</v>
      </c>
      <c r="F80" s="45">
        <f>VLOOKUP($C80,CAPITOLI!$A:$E,5)</f>
        <v>1</v>
      </c>
      <c r="G80" s="49" t="s">
        <v>2</v>
      </c>
      <c r="H80" s="50" t="s">
        <v>329</v>
      </c>
      <c r="I80" s="46" t="str">
        <f>VLOOKUP(H80,QUALIFICHE!A:B,2,TRUE)</f>
        <v>OPERATORE      </v>
      </c>
      <c r="J80" s="25">
        <f>VLOOKUP(H80,QUALIFICHE!A:J,3)</f>
        <v>17539.65</v>
      </c>
      <c r="K80" s="51">
        <v>852.61</v>
      </c>
      <c r="L80" s="51">
        <v>463.82</v>
      </c>
      <c r="M80" s="51">
        <v>0</v>
      </c>
      <c r="N80" s="25">
        <f>VLOOKUP($H80,QUALIFICHE!$A:$J,5)</f>
        <v>0</v>
      </c>
      <c r="O80" s="25">
        <f t="shared" si="37"/>
        <v>1571.34</v>
      </c>
      <c r="P80" s="25">
        <f t="shared" si="38"/>
        <v>0</v>
      </c>
      <c r="Q80" s="103">
        <v>123.96</v>
      </c>
      <c r="R80" s="25">
        <f>VLOOKUP($H80,QUALIFICHE!$A:$J,8)</f>
        <v>64.56</v>
      </c>
      <c r="S80" s="51">
        <v>0</v>
      </c>
      <c r="T80" s="51">
        <v>0</v>
      </c>
      <c r="U80" s="25">
        <f>VLOOKUP($H80,QUALIFICHE!$A:$J,9)</f>
        <v>37.08</v>
      </c>
      <c r="V80" s="25">
        <f>VLOOKUP($H80,QUALIFICHE!$A:$J,10)</f>
        <v>351.72</v>
      </c>
      <c r="W80" s="25">
        <f>VLOOKUP($H80,QUALIFICHE!$A:$K,11)</f>
        <v>131.52</v>
      </c>
      <c r="X80" s="73">
        <f t="shared" si="39"/>
        <v>21136.260000000006</v>
      </c>
      <c r="Y80" s="71">
        <f t="shared" si="40"/>
        <v>21012.300000000007</v>
      </c>
      <c r="Z80" s="71">
        <f t="shared" si="41"/>
        <v>20623.500000000004</v>
      </c>
      <c r="AA80" s="25">
        <f>VLOOKUP($H80,QUALIFICHE!$A:$J,7)</f>
        <v>3.5</v>
      </c>
      <c r="AB80" s="72">
        <f t="shared" si="42"/>
        <v>735.4305000000002</v>
      </c>
    </row>
    <row r="81" spans="1:28" s="15" customFormat="1" ht="15" customHeight="1" outlineLevel="2">
      <c r="A81" s="48">
        <v>3</v>
      </c>
      <c r="B81" s="48" t="s">
        <v>44</v>
      </c>
      <c r="C81" s="49">
        <v>470</v>
      </c>
      <c r="D81" s="43">
        <f>VLOOKUP($C81,CAPITOLI!$A:$E,3)</f>
        <v>10</v>
      </c>
      <c r="E81" s="44">
        <f>VLOOKUP($C81,CAPITOLI!$A:$E,4)</f>
        <v>1</v>
      </c>
      <c r="F81" s="45">
        <f>VLOOKUP($C81,CAPITOLI!$A:$E,5)</f>
        <v>1</v>
      </c>
      <c r="G81" s="49" t="s">
        <v>2</v>
      </c>
      <c r="H81" s="50" t="s">
        <v>23</v>
      </c>
      <c r="I81" s="46" t="str">
        <f>VLOOKUP(H81,QUALIFICHE!A:B,2,TRUE)</f>
        <v>ISTRUTTORE     </v>
      </c>
      <c r="J81" s="25">
        <f>VLOOKUP(H81,QUALIFICHE!A:J,3)</f>
        <v>20472.62</v>
      </c>
      <c r="K81" s="51">
        <v>0</v>
      </c>
      <c r="L81" s="51">
        <v>521.65</v>
      </c>
      <c r="M81" s="51">
        <v>0</v>
      </c>
      <c r="N81" s="25">
        <f>VLOOKUP($H81,QUALIFICHE!$A:$J,5)</f>
        <v>0</v>
      </c>
      <c r="O81" s="25">
        <f t="shared" si="37"/>
        <v>1749.52</v>
      </c>
      <c r="P81" s="25">
        <f t="shared" si="38"/>
        <v>0</v>
      </c>
      <c r="Q81" s="101">
        <v>0</v>
      </c>
      <c r="R81" s="89">
        <v>464.76</v>
      </c>
      <c r="S81" s="51">
        <v>0</v>
      </c>
      <c r="T81" s="51">
        <v>340.92</v>
      </c>
      <c r="U81" s="25">
        <f>VLOOKUP($H81,QUALIFICHE!$A:$J,9)</f>
        <v>52.08</v>
      </c>
      <c r="V81" s="25">
        <f>VLOOKUP($H81,QUALIFICHE!$A:$J,10)</f>
        <v>497.52</v>
      </c>
      <c r="W81" s="25">
        <f>VLOOKUP($H81,QUALIFICHE!$A:$K,11)</f>
        <v>153.6</v>
      </c>
      <c r="X81" s="73">
        <f t="shared" si="39"/>
        <v>24252.67</v>
      </c>
      <c r="Y81" s="71">
        <f t="shared" si="40"/>
        <v>24252.67</v>
      </c>
      <c r="Z81" s="71">
        <f t="shared" si="41"/>
        <v>23362.149999999998</v>
      </c>
      <c r="AA81" s="25">
        <f>VLOOKUP($H81,QUALIFICHE!$A:$J,7)</f>
        <v>1.3</v>
      </c>
      <c r="AB81" s="72">
        <f t="shared" si="42"/>
        <v>315.28470999999996</v>
      </c>
    </row>
    <row r="82" spans="1:28" s="15" customFormat="1" ht="15" customHeight="1" outlineLevel="2">
      <c r="A82" s="48">
        <v>4</v>
      </c>
      <c r="B82" s="48" t="s">
        <v>63</v>
      </c>
      <c r="C82" s="49">
        <v>470</v>
      </c>
      <c r="D82" s="43">
        <f>VLOOKUP($C82,CAPITOLI!$A:$E,3)</f>
        <v>10</v>
      </c>
      <c r="E82" s="44">
        <f>VLOOKUP($C82,CAPITOLI!$A:$E,4)</f>
        <v>1</v>
      </c>
      <c r="F82" s="45">
        <f>VLOOKUP($C82,CAPITOLI!$A:$E,5)</f>
        <v>1</v>
      </c>
      <c r="G82" s="49" t="s">
        <v>2</v>
      </c>
      <c r="H82" s="50" t="s">
        <v>27</v>
      </c>
      <c r="I82" s="46" t="str">
        <f>VLOOKUP(H82,QUALIFICHE!A:B,2,TRUE)</f>
        <v>ISTRUTTORE     </v>
      </c>
      <c r="J82" s="25">
        <f>VLOOKUP(H82,QUALIFICHE!A:J,3)</f>
        <v>19454.15</v>
      </c>
      <c r="K82" s="51">
        <v>0</v>
      </c>
      <c r="L82" s="51">
        <v>395.28</v>
      </c>
      <c r="M82" s="51">
        <v>0</v>
      </c>
      <c r="N82" s="25">
        <f>VLOOKUP($H82,QUALIFICHE!$A:$J,5)</f>
        <v>0</v>
      </c>
      <c r="O82" s="25">
        <f t="shared" si="37"/>
        <v>1654.12</v>
      </c>
      <c r="P82" s="25">
        <f t="shared" si="38"/>
        <v>0</v>
      </c>
      <c r="Q82" s="103">
        <v>123.96</v>
      </c>
      <c r="R82" s="89">
        <v>464.76</v>
      </c>
      <c r="S82" s="51">
        <v>0</v>
      </c>
      <c r="T82" s="51">
        <v>340.92</v>
      </c>
      <c r="U82" s="25">
        <f>VLOOKUP($H82,QUALIFICHE!$A:$J,9)</f>
        <v>52.08</v>
      </c>
      <c r="V82" s="25">
        <f>VLOOKUP($H82,QUALIFICHE!$A:$J,10)</f>
        <v>497.52</v>
      </c>
      <c r="W82" s="25">
        <f>VLOOKUP($H82,QUALIFICHE!$A:$K,11)</f>
        <v>145.92</v>
      </c>
      <c r="X82" s="73">
        <f t="shared" si="39"/>
        <v>23128.709999999995</v>
      </c>
      <c r="Y82" s="71">
        <f t="shared" si="40"/>
        <v>23004.749999999996</v>
      </c>
      <c r="Z82" s="71">
        <f t="shared" si="41"/>
        <v>22114.229999999996</v>
      </c>
      <c r="AA82" s="25">
        <f>VLOOKUP($H82,QUALIFICHE!$A:$J,7)</f>
        <v>1.3</v>
      </c>
      <c r="AB82" s="72">
        <f t="shared" si="42"/>
        <v>299.06174999999996</v>
      </c>
    </row>
    <row r="83" spans="1:28" s="15" customFormat="1" ht="15" customHeight="1" outlineLevel="2">
      <c r="A83" s="48">
        <v>5</v>
      </c>
      <c r="B83" s="48" t="s">
        <v>65</v>
      </c>
      <c r="C83" s="49">
        <v>470</v>
      </c>
      <c r="D83" s="43">
        <f>VLOOKUP($C83,CAPITOLI!$A:$E,3)</f>
        <v>10</v>
      </c>
      <c r="E83" s="44">
        <f>VLOOKUP($C83,CAPITOLI!$A:$E,4)</f>
        <v>1</v>
      </c>
      <c r="F83" s="45">
        <f>VLOOKUP($C83,CAPITOLI!$A:$E,5)</f>
        <v>1</v>
      </c>
      <c r="G83" s="49" t="s">
        <v>2</v>
      </c>
      <c r="H83" s="50" t="s">
        <v>316</v>
      </c>
      <c r="I83" s="46" t="str">
        <f>VLOOKUP(H83,QUALIFICHE!A:B,2,TRUE)</f>
        <v>ESECUTORE      </v>
      </c>
      <c r="J83" s="25">
        <f>VLOOKUP(H83,QUALIFICHE!A:J,3)</f>
        <v>18808.79</v>
      </c>
      <c r="K83" s="51">
        <v>0</v>
      </c>
      <c r="L83" s="51">
        <v>613.43</v>
      </c>
      <c r="M83" s="51">
        <v>0</v>
      </c>
      <c r="N83" s="89">
        <v>797.4</v>
      </c>
      <c r="O83" s="25">
        <f t="shared" si="37"/>
        <v>1618.52</v>
      </c>
      <c r="P83" s="25">
        <f t="shared" si="38"/>
        <v>66.45</v>
      </c>
      <c r="Q83" s="101">
        <v>0</v>
      </c>
      <c r="R83" s="89">
        <v>464.76</v>
      </c>
      <c r="S83" s="51">
        <v>0</v>
      </c>
      <c r="T83" s="51">
        <v>340.92</v>
      </c>
      <c r="U83" s="25">
        <f>VLOOKUP($H83,QUALIFICHE!$A:$J,9)</f>
        <v>44.76</v>
      </c>
      <c r="V83" s="25">
        <f>VLOOKUP($H83,QUALIFICHE!$A:$J,10)</f>
        <v>426.96</v>
      </c>
      <c r="W83" s="25">
        <f>VLOOKUP($H83,QUALIFICHE!$A:$K,11)</f>
        <v>141.12</v>
      </c>
      <c r="X83" s="73">
        <f t="shared" si="39"/>
        <v>23323.109999999997</v>
      </c>
      <c r="Y83" s="71">
        <f t="shared" si="40"/>
        <v>23323.109999999997</v>
      </c>
      <c r="Z83" s="71">
        <f t="shared" si="41"/>
        <v>22510.47</v>
      </c>
      <c r="AA83" s="25">
        <f>VLOOKUP($H83,QUALIFICHE!$A:$J,7)</f>
        <v>1.9</v>
      </c>
      <c r="AB83" s="72">
        <f t="shared" si="42"/>
        <v>443.1390899999999</v>
      </c>
    </row>
    <row r="84" spans="1:28" s="15" customFormat="1" ht="15" customHeight="1" outlineLevel="2">
      <c r="A84" s="48">
        <v>6</v>
      </c>
      <c r="B84" s="48" t="s">
        <v>46</v>
      </c>
      <c r="C84" s="49">
        <v>470</v>
      </c>
      <c r="D84" s="43">
        <f>VLOOKUP($C84,CAPITOLI!$A:$E,3)</f>
        <v>10</v>
      </c>
      <c r="E84" s="44">
        <f>VLOOKUP($C84,CAPITOLI!$A:$E,4)</f>
        <v>1</v>
      </c>
      <c r="F84" s="45">
        <f>VLOOKUP($C84,CAPITOLI!$A:$E,5)</f>
        <v>1</v>
      </c>
      <c r="G84" s="49" t="s">
        <v>2</v>
      </c>
      <c r="H84" s="50" t="s">
        <v>28</v>
      </c>
      <c r="I84" s="46" t="str">
        <f>VLOOKUP(H84,QUALIFICHE!A:B,2,TRUE)</f>
        <v>ISTRUTTORE     </v>
      </c>
      <c r="J84" s="25">
        <f>VLOOKUP(H84,QUALIFICHE!A:J,3)</f>
        <v>21120.11</v>
      </c>
      <c r="K84" s="51">
        <v>0</v>
      </c>
      <c r="L84" s="51">
        <v>521.65</v>
      </c>
      <c r="M84" s="51">
        <v>0</v>
      </c>
      <c r="N84" s="25">
        <f>VLOOKUP($H84,QUALIFICHE!$A:$J,5)</f>
        <v>0</v>
      </c>
      <c r="O84" s="25">
        <f t="shared" si="37"/>
        <v>1803.48</v>
      </c>
      <c r="P84" s="25">
        <f t="shared" si="38"/>
        <v>0</v>
      </c>
      <c r="Q84" s="101">
        <v>0</v>
      </c>
      <c r="R84" s="89">
        <v>464.76</v>
      </c>
      <c r="S84" s="51">
        <v>0</v>
      </c>
      <c r="T84" s="51">
        <v>340.92</v>
      </c>
      <c r="U84" s="25">
        <f>VLOOKUP($H84,QUALIFICHE!$A:$J,9)</f>
        <v>52.08</v>
      </c>
      <c r="V84" s="25">
        <f>VLOOKUP($H84,QUALIFICHE!$A:$J,10)</f>
        <v>497.52</v>
      </c>
      <c r="W84" s="25">
        <f>VLOOKUP($H84,QUALIFICHE!$A:$K,11)</f>
        <v>158.4</v>
      </c>
      <c r="X84" s="73">
        <f t="shared" si="39"/>
        <v>24958.920000000002</v>
      </c>
      <c r="Y84" s="71">
        <f t="shared" si="40"/>
        <v>24958.920000000002</v>
      </c>
      <c r="Z84" s="71">
        <f t="shared" si="41"/>
        <v>24068.4</v>
      </c>
      <c r="AA84" s="25">
        <f>VLOOKUP($H84,QUALIFICHE!$A:$J,7)</f>
        <v>1.3</v>
      </c>
      <c r="AB84" s="72">
        <f t="shared" si="42"/>
        <v>324.46596000000005</v>
      </c>
    </row>
    <row r="85" spans="1:28" s="15" customFormat="1" ht="15" customHeight="1" outlineLevel="2">
      <c r="A85" s="48">
        <v>7</v>
      </c>
      <c r="B85" s="48" t="s">
        <v>62</v>
      </c>
      <c r="C85" s="49">
        <v>470</v>
      </c>
      <c r="D85" s="43">
        <f>VLOOKUP($C85,CAPITOLI!$A:$E,3)</f>
        <v>10</v>
      </c>
      <c r="E85" s="44">
        <f>VLOOKUP($C85,CAPITOLI!$A:$E,4)</f>
        <v>1</v>
      </c>
      <c r="F85" s="45">
        <f>VLOOKUP($C85,CAPITOLI!$A:$E,5)</f>
        <v>1</v>
      </c>
      <c r="G85" s="49" t="s">
        <v>2</v>
      </c>
      <c r="H85" s="50" t="s">
        <v>28</v>
      </c>
      <c r="I85" s="46" t="str">
        <f>VLOOKUP(H85,QUALIFICHE!A:B,2,TRUE)</f>
        <v>ISTRUTTORE     </v>
      </c>
      <c r="J85" s="25">
        <f>VLOOKUP(H85,QUALIFICHE!A:J,3)</f>
        <v>21120.11</v>
      </c>
      <c r="K85" s="51">
        <v>0</v>
      </c>
      <c r="L85" s="51">
        <v>0</v>
      </c>
      <c r="M85" s="51">
        <v>0</v>
      </c>
      <c r="N85" s="25">
        <f>VLOOKUP($H85,QUALIFICHE!$A:$J,5)</f>
        <v>0</v>
      </c>
      <c r="O85" s="25">
        <f>ROUND((J85+K85+L85+M85)/12,2)</f>
        <v>1760.01</v>
      </c>
      <c r="P85" s="25">
        <f>N85/12</f>
        <v>0</v>
      </c>
      <c r="Q85" s="101">
        <v>0</v>
      </c>
      <c r="R85" s="89">
        <v>464.76</v>
      </c>
      <c r="S85" s="51">
        <v>0</v>
      </c>
      <c r="T85" s="51">
        <v>340.92</v>
      </c>
      <c r="U85" s="25">
        <f>VLOOKUP($H85,QUALIFICHE!$A:$J,9)</f>
        <v>52.08</v>
      </c>
      <c r="V85" s="25">
        <f>VLOOKUP($H85,QUALIFICHE!$A:$J,10)</f>
        <v>497.52</v>
      </c>
      <c r="W85" s="25">
        <f>VLOOKUP($H85,QUALIFICHE!$A:$K,11)</f>
        <v>158.4</v>
      </c>
      <c r="X85" s="73">
        <f>J85+K85+L85+N85+O85+P85+Q85+M85+R85+S85+T85+U85+V85+W85</f>
        <v>24393.8</v>
      </c>
      <c r="Y85" s="71">
        <f t="shared" si="40"/>
        <v>24393.8</v>
      </c>
      <c r="Z85" s="71">
        <f>Y85-U85-V85-T85</f>
        <v>23503.28</v>
      </c>
      <c r="AA85" s="25">
        <f>VLOOKUP($H85,QUALIFICHE!$A:$J,7)</f>
        <v>1.3</v>
      </c>
      <c r="AB85" s="72">
        <f t="shared" si="42"/>
        <v>317.1194</v>
      </c>
    </row>
    <row r="86" spans="1:28" s="15" customFormat="1" ht="15" customHeight="1" outlineLevel="2">
      <c r="A86" s="48">
        <v>8</v>
      </c>
      <c r="B86" s="48" t="s">
        <v>42</v>
      </c>
      <c r="C86" s="49">
        <v>470</v>
      </c>
      <c r="D86" s="43">
        <f>VLOOKUP($C86,CAPITOLI!$A:$E,3)</f>
        <v>10</v>
      </c>
      <c r="E86" s="44">
        <f>VLOOKUP($C86,CAPITOLI!$A:$E,4)</f>
        <v>1</v>
      </c>
      <c r="F86" s="45">
        <f>VLOOKUP($C86,CAPITOLI!$A:$E,5)</f>
        <v>1</v>
      </c>
      <c r="G86" s="49" t="s">
        <v>2</v>
      </c>
      <c r="H86" s="50" t="s">
        <v>28</v>
      </c>
      <c r="I86" s="46" t="str">
        <f>VLOOKUP(H86,QUALIFICHE!A:B,2,TRUE)</f>
        <v>ISTRUTTORE     </v>
      </c>
      <c r="J86" s="25">
        <f>VLOOKUP(H86,QUALIFICHE!A:J,3)</f>
        <v>21120.11</v>
      </c>
      <c r="K86" s="51">
        <v>0</v>
      </c>
      <c r="L86" s="51">
        <v>0</v>
      </c>
      <c r="M86" s="51">
        <v>0</v>
      </c>
      <c r="N86" s="25">
        <f>VLOOKUP($H86,QUALIFICHE!$A:$J,5)</f>
        <v>0</v>
      </c>
      <c r="O86" s="25">
        <f>ROUND((J86+K86+L86+M86)/12,2)</f>
        <v>1760.01</v>
      </c>
      <c r="P86" s="25">
        <f>N86/12</f>
        <v>0</v>
      </c>
      <c r="Q86" s="101">
        <v>0</v>
      </c>
      <c r="R86" s="25">
        <f>VLOOKUP($H86,QUALIFICHE!$A:$J,8)</f>
        <v>0</v>
      </c>
      <c r="S86" s="51">
        <v>0</v>
      </c>
      <c r="T86" s="51">
        <v>0</v>
      </c>
      <c r="U86" s="25">
        <f>VLOOKUP($H86,QUALIFICHE!$A:$J,9)</f>
        <v>52.08</v>
      </c>
      <c r="V86" s="25">
        <f>VLOOKUP($H86,QUALIFICHE!$A:$J,10)</f>
        <v>497.52</v>
      </c>
      <c r="W86" s="25">
        <f>VLOOKUP($H86,QUALIFICHE!$A:$K,11)</f>
        <v>158.4</v>
      </c>
      <c r="X86" s="73">
        <f>J86+K86+L86+N86+O86+P86+Q86+M86+R86+S86+T86+U86+V86+W86</f>
        <v>23588.120000000003</v>
      </c>
      <c r="Y86" s="71">
        <f t="shared" si="40"/>
        <v>23588.120000000003</v>
      </c>
      <c r="Z86" s="71">
        <f>Y86-U86-V86-T86</f>
        <v>23038.52</v>
      </c>
      <c r="AA86" s="25">
        <f>VLOOKUP($H86,QUALIFICHE!$A:$J,7)</f>
        <v>1.3</v>
      </c>
      <c r="AB86" s="72">
        <f t="shared" si="42"/>
        <v>306.64556000000005</v>
      </c>
    </row>
    <row r="87" spans="1:28" s="84" customFormat="1" ht="15" customHeight="1" outlineLevel="1">
      <c r="A87" s="75"/>
      <c r="B87" s="75"/>
      <c r="C87" s="76" t="s">
        <v>376</v>
      </c>
      <c r="D87" s="77"/>
      <c r="E87" s="74"/>
      <c r="F87" s="78"/>
      <c r="G87" s="76"/>
      <c r="H87" s="79"/>
      <c r="I87" s="80"/>
      <c r="J87" s="81">
        <f aca="true" t="shared" si="43" ref="J87:Z87">SUBTOTAL(9,J79:J86)</f>
        <v>160108.16000000003</v>
      </c>
      <c r="K87" s="82">
        <f t="shared" si="43"/>
        <v>852.61</v>
      </c>
      <c r="L87" s="82">
        <f t="shared" si="43"/>
        <v>3037.48</v>
      </c>
      <c r="M87" s="82">
        <f t="shared" si="43"/>
        <v>0</v>
      </c>
      <c r="N87" s="81">
        <f>SUBTOTAL(9,N79:N86)</f>
        <v>797.4</v>
      </c>
      <c r="O87" s="81">
        <f t="shared" si="43"/>
        <v>13666.519999999999</v>
      </c>
      <c r="P87" s="81">
        <f t="shared" si="43"/>
        <v>66.45</v>
      </c>
      <c r="Q87" s="104">
        <f t="shared" si="43"/>
        <v>247.92</v>
      </c>
      <c r="R87" s="81">
        <f t="shared" si="43"/>
        <v>2853.12</v>
      </c>
      <c r="S87" s="82">
        <f t="shared" si="43"/>
        <v>0</v>
      </c>
      <c r="T87" s="82">
        <f t="shared" si="43"/>
        <v>2045.5200000000002</v>
      </c>
      <c r="U87" s="81">
        <f t="shared" si="43"/>
        <v>394.31999999999994</v>
      </c>
      <c r="V87" s="81">
        <f t="shared" si="43"/>
        <v>3763.7999999999997</v>
      </c>
      <c r="W87" s="81">
        <f t="shared" si="43"/>
        <v>1200.96</v>
      </c>
      <c r="X87" s="83">
        <f t="shared" si="43"/>
        <v>189034.25999999998</v>
      </c>
      <c r="Y87" s="83">
        <f t="shared" si="43"/>
        <v>188786.34</v>
      </c>
      <c r="Z87" s="83">
        <f t="shared" si="43"/>
        <v>182582.69999999998</v>
      </c>
      <c r="AA87" s="81"/>
      <c r="AB87" s="83">
        <f>SUBTOTAL(9,AB79:AB86)</f>
        <v>3056.4316799999997</v>
      </c>
    </row>
    <row r="88" spans="1:28" s="15" customFormat="1" ht="15" customHeight="1" outlineLevel="2">
      <c r="A88" s="48">
        <v>1</v>
      </c>
      <c r="B88" s="48" t="s">
        <v>32</v>
      </c>
      <c r="C88" s="49">
        <v>492</v>
      </c>
      <c r="D88" s="43">
        <f>VLOOKUP($C88,CAPITOLI!$A:$E,3)</f>
        <v>10</v>
      </c>
      <c r="E88" s="44">
        <f>VLOOKUP($C88,CAPITOLI!$A:$E,4)</f>
        <v>2</v>
      </c>
      <c r="F88" s="45">
        <f>VLOOKUP($C88,CAPITOLI!$A:$E,5)</f>
        <v>1</v>
      </c>
      <c r="G88" s="49" t="s">
        <v>2</v>
      </c>
      <c r="H88" s="50" t="s">
        <v>28</v>
      </c>
      <c r="I88" s="46" t="str">
        <f>VLOOKUP(H88,QUALIFICHE!A:B,2,TRUE)</f>
        <v>ISTRUTTORE     </v>
      </c>
      <c r="J88" s="25">
        <f>VLOOKUP(H88,QUALIFICHE!A:J,3)</f>
        <v>21120.11</v>
      </c>
      <c r="K88" s="51">
        <v>0</v>
      </c>
      <c r="L88" s="51">
        <v>0</v>
      </c>
      <c r="M88" s="51">
        <v>0</v>
      </c>
      <c r="N88" s="25">
        <f>VLOOKUP($H88,QUALIFICHE!$A:$J,5)</f>
        <v>0</v>
      </c>
      <c r="O88" s="25">
        <f>ROUND((J88+K88+L88+M88)/12,2)</f>
        <v>1760.01</v>
      </c>
      <c r="P88" s="25">
        <f>N88/12</f>
        <v>0</v>
      </c>
      <c r="Q88" s="101">
        <v>0</v>
      </c>
      <c r="R88" s="25">
        <f>VLOOKUP($H88,QUALIFICHE!$A:$J,8)</f>
        <v>0</v>
      </c>
      <c r="S88" s="51">
        <v>0</v>
      </c>
      <c r="T88" s="51">
        <v>0</v>
      </c>
      <c r="U88" s="25">
        <f>VLOOKUP($H88,QUALIFICHE!$A:$J,9)</f>
        <v>52.08</v>
      </c>
      <c r="V88" s="25">
        <f>VLOOKUP($H88,QUALIFICHE!$A:$J,10)</f>
        <v>497.52</v>
      </c>
      <c r="W88" s="25">
        <f>VLOOKUP($H88,QUALIFICHE!$A:$K,11)</f>
        <v>158.4</v>
      </c>
      <c r="X88" s="73">
        <f>J88+K88+L88+N88+O88+P88+Q88+M88+R88+S88+T88+U88+V88+W88</f>
        <v>23588.120000000003</v>
      </c>
      <c r="Y88" s="71">
        <f>X88-Q88</f>
        <v>23588.120000000003</v>
      </c>
      <c r="Z88" s="71">
        <f>Y88-U88-V88-T88</f>
        <v>23038.52</v>
      </c>
      <c r="AA88" s="25">
        <f>VLOOKUP($H88,QUALIFICHE!$A:$J,7)</f>
        <v>1.3</v>
      </c>
      <c r="AB88" s="72">
        <f>Y88*AA88/100</f>
        <v>306.64556000000005</v>
      </c>
    </row>
    <row r="89" spans="1:28" s="15" customFormat="1" ht="15" customHeight="1" outlineLevel="2">
      <c r="A89" s="48">
        <v>2</v>
      </c>
      <c r="B89" s="48" t="s">
        <v>37</v>
      </c>
      <c r="C89" s="49">
        <v>492</v>
      </c>
      <c r="D89" s="43">
        <f>VLOOKUP($C89,CAPITOLI!$A:$E,3)</f>
        <v>10</v>
      </c>
      <c r="E89" s="44">
        <f>VLOOKUP($C89,CAPITOLI!$A:$E,4)</f>
        <v>2</v>
      </c>
      <c r="F89" s="45">
        <f>VLOOKUP($C89,CAPITOLI!$A:$E,5)</f>
        <v>1</v>
      </c>
      <c r="G89" s="49" t="s">
        <v>2</v>
      </c>
      <c r="H89" s="50" t="s">
        <v>28</v>
      </c>
      <c r="I89" s="46" t="str">
        <f>VLOOKUP(H89,QUALIFICHE!A:B,2,TRUE)</f>
        <v>ISTRUTTORE     </v>
      </c>
      <c r="J89" s="25">
        <f>VLOOKUP(H89,QUALIFICHE!A:J,3)</f>
        <v>21120.11</v>
      </c>
      <c r="K89" s="51">
        <v>0</v>
      </c>
      <c r="L89" s="51">
        <v>0</v>
      </c>
      <c r="M89" s="51">
        <v>0</v>
      </c>
      <c r="N89" s="25">
        <f>VLOOKUP($H89,QUALIFICHE!$A:$J,5)</f>
        <v>0</v>
      </c>
      <c r="O89" s="25">
        <f>ROUND((J89+K89+L89+M89)/12,2)</f>
        <v>1760.01</v>
      </c>
      <c r="P89" s="25">
        <f>N89/12</f>
        <v>0</v>
      </c>
      <c r="Q89" s="101">
        <v>0</v>
      </c>
      <c r="R89" s="25">
        <f>VLOOKUP($H89,QUALIFICHE!$A:$J,8)</f>
        <v>0</v>
      </c>
      <c r="S89" s="51">
        <v>0</v>
      </c>
      <c r="T89" s="51">
        <v>0</v>
      </c>
      <c r="U89" s="25">
        <f>VLOOKUP($H89,QUALIFICHE!$A:$J,9)</f>
        <v>52.08</v>
      </c>
      <c r="V89" s="25">
        <f>VLOOKUP($H89,QUALIFICHE!$A:$J,10)</f>
        <v>497.52</v>
      </c>
      <c r="W89" s="25">
        <f>VLOOKUP($H89,QUALIFICHE!$A:$K,11)</f>
        <v>158.4</v>
      </c>
      <c r="X89" s="73">
        <f>J89+K89+L89+N89+O89+P89+Q89+M89+R89+S89+T89+U89+V89+W89</f>
        <v>23588.120000000003</v>
      </c>
      <c r="Y89" s="71">
        <f>X89-Q89</f>
        <v>23588.120000000003</v>
      </c>
      <c r="Z89" s="71">
        <f>Y89-U89-V89-T89</f>
        <v>23038.52</v>
      </c>
      <c r="AA89" s="25">
        <f>VLOOKUP($H89,QUALIFICHE!$A:$J,7)</f>
        <v>1.3</v>
      </c>
      <c r="AB89" s="72">
        <f>Y89*AA89/100</f>
        <v>306.64556000000005</v>
      </c>
    </row>
    <row r="90" spans="1:28" s="15" customFormat="1" ht="15" customHeight="1" outlineLevel="2">
      <c r="A90" s="48">
        <v>3</v>
      </c>
      <c r="B90" s="48" t="s">
        <v>39</v>
      </c>
      <c r="C90" s="49">
        <v>492</v>
      </c>
      <c r="D90" s="43">
        <f>VLOOKUP($C90,CAPITOLI!$A:$E,3)</f>
        <v>10</v>
      </c>
      <c r="E90" s="44">
        <f>VLOOKUP($C90,CAPITOLI!$A:$E,4)</f>
        <v>2</v>
      </c>
      <c r="F90" s="45">
        <f>VLOOKUP($C90,CAPITOLI!$A:$E,5)</f>
        <v>1</v>
      </c>
      <c r="G90" s="49" t="s">
        <v>2</v>
      </c>
      <c r="H90" s="50" t="s">
        <v>28</v>
      </c>
      <c r="I90" s="46" t="str">
        <f>VLOOKUP(H90,QUALIFICHE!A:B,2,TRUE)</f>
        <v>ISTRUTTORE     </v>
      </c>
      <c r="J90" s="25">
        <f>VLOOKUP(H90,QUALIFICHE!A:J,3)</f>
        <v>21120.11</v>
      </c>
      <c r="K90" s="51">
        <v>0</v>
      </c>
      <c r="L90" s="51">
        <v>0</v>
      </c>
      <c r="M90" s="51">
        <v>0</v>
      </c>
      <c r="N90" s="25">
        <f>VLOOKUP($H90,QUALIFICHE!$A:$J,5)</f>
        <v>0</v>
      </c>
      <c r="O90" s="25">
        <f>ROUND((J90+K90+L90+M90)/12,2)</f>
        <v>1760.01</v>
      </c>
      <c r="P90" s="25">
        <f>N90/12</f>
        <v>0</v>
      </c>
      <c r="Q90" s="101">
        <v>0</v>
      </c>
      <c r="R90" s="25">
        <f>VLOOKUP($H90,QUALIFICHE!$A:$J,8)</f>
        <v>0</v>
      </c>
      <c r="S90" s="51">
        <v>0</v>
      </c>
      <c r="T90" s="51">
        <v>0</v>
      </c>
      <c r="U90" s="25">
        <f>VLOOKUP($H90,QUALIFICHE!$A:$J,9)</f>
        <v>52.08</v>
      </c>
      <c r="V90" s="25">
        <f>VLOOKUP($H90,QUALIFICHE!$A:$J,10)</f>
        <v>497.52</v>
      </c>
      <c r="W90" s="25">
        <f>VLOOKUP($H90,QUALIFICHE!$A:$K,11)</f>
        <v>158.4</v>
      </c>
      <c r="X90" s="73">
        <f>J90+K90+L90+N90+O90+P90+Q90+M90+R90+S90+T90+U90+V90+W90</f>
        <v>23588.120000000003</v>
      </c>
      <c r="Y90" s="71">
        <f>X90-Q90</f>
        <v>23588.120000000003</v>
      </c>
      <c r="Z90" s="71">
        <f>Y90-U90-V90-T90</f>
        <v>23038.52</v>
      </c>
      <c r="AA90" s="25">
        <f>VLOOKUP($H90,QUALIFICHE!$A:$J,7)</f>
        <v>1.3</v>
      </c>
      <c r="AB90" s="72">
        <f>Y90*AA90/100</f>
        <v>306.64556000000005</v>
      </c>
    </row>
    <row r="91" spans="1:28" s="84" customFormat="1" ht="15" customHeight="1" outlineLevel="1">
      <c r="A91" s="75"/>
      <c r="B91" s="75"/>
      <c r="C91" s="76" t="s">
        <v>377</v>
      </c>
      <c r="D91" s="77"/>
      <c r="E91" s="74"/>
      <c r="F91" s="78"/>
      <c r="G91" s="76"/>
      <c r="H91" s="79"/>
      <c r="I91" s="80"/>
      <c r="J91" s="81">
        <f aca="true" t="shared" si="44" ref="J91:P91">SUBTOTAL(9,J88:J90)</f>
        <v>63360.33</v>
      </c>
      <c r="K91" s="82">
        <f t="shared" si="44"/>
        <v>0</v>
      </c>
      <c r="L91" s="82">
        <f t="shared" si="44"/>
        <v>0</v>
      </c>
      <c r="M91" s="82">
        <f>SUBTOTAL(9,M88:M90)</f>
        <v>0</v>
      </c>
      <c r="N91" s="81">
        <f t="shared" si="44"/>
        <v>0</v>
      </c>
      <c r="O91" s="81">
        <f t="shared" si="44"/>
        <v>5280.03</v>
      </c>
      <c r="P91" s="81">
        <f t="shared" si="44"/>
        <v>0</v>
      </c>
      <c r="Q91" s="104">
        <f>SUBTOTAL(9,Q88:Q90)</f>
        <v>0</v>
      </c>
      <c r="R91" s="81">
        <f aca="true" t="shared" si="45" ref="R91:X91">SUBTOTAL(9,R88:R90)</f>
        <v>0</v>
      </c>
      <c r="S91" s="82">
        <f t="shared" si="45"/>
        <v>0</v>
      </c>
      <c r="T91" s="82">
        <f t="shared" si="45"/>
        <v>0</v>
      </c>
      <c r="U91" s="81">
        <f t="shared" si="45"/>
        <v>156.24</v>
      </c>
      <c r="V91" s="81">
        <f t="shared" si="45"/>
        <v>1492.56</v>
      </c>
      <c r="W91" s="81">
        <f t="shared" si="45"/>
        <v>475.20000000000005</v>
      </c>
      <c r="X91" s="83">
        <f t="shared" si="45"/>
        <v>70764.36000000002</v>
      </c>
      <c r="Y91" s="83">
        <f>SUBTOTAL(9,Y88:Y90)</f>
        <v>70764.36000000002</v>
      </c>
      <c r="Z91" s="83">
        <f>SUBTOTAL(9,Z88:Z90)</f>
        <v>69115.56</v>
      </c>
      <c r="AA91" s="81"/>
      <c r="AB91" s="83">
        <f>SUBTOTAL(9,AB88:AB90)</f>
        <v>919.9366800000001</v>
      </c>
    </row>
    <row r="92" spans="1:28" s="15" customFormat="1" ht="15" customHeight="1" outlineLevel="2">
      <c r="A92" s="48">
        <v>1</v>
      </c>
      <c r="B92" s="48" t="s">
        <v>35</v>
      </c>
      <c r="C92" s="49">
        <v>560</v>
      </c>
      <c r="D92" s="43">
        <f>VLOOKUP($C92,CAPITOLI!$A:$E,3)</f>
        <v>10</v>
      </c>
      <c r="E92" s="44">
        <f>VLOOKUP($C92,CAPITOLI!$A:$E,4)</f>
        <v>4</v>
      </c>
      <c r="F92" s="45">
        <f>VLOOKUP($C92,CAPITOLI!$A:$E,5)</f>
        <v>1</v>
      </c>
      <c r="G92" s="49" t="s">
        <v>2</v>
      </c>
      <c r="H92" s="50" t="s">
        <v>28</v>
      </c>
      <c r="I92" s="46" t="str">
        <f>VLOOKUP(H92,QUALIFICHE!A:B,2,TRUE)</f>
        <v>ISTRUTTORE     </v>
      </c>
      <c r="J92" s="25">
        <f>VLOOKUP(H92,QUALIFICHE!A:J,3)</f>
        <v>21120.11</v>
      </c>
      <c r="K92" s="51">
        <v>0</v>
      </c>
      <c r="L92" s="51">
        <v>0</v>
      </c>
      <c r="M92" s="51">
        <v>0</v>
      </c>
      <c r="N92" s="25">
        <f>VLOOKUP($H92,QUALIFICHE!$A:$J,5)</f>
        <v>0</v>
      </c>
      <c r="O92" s="25">
        <f aca="true" t="shared" si="46" ref="O92:O97">ROUND((J92+K92+L92+M92)/12,2)</f>
        <v>1760.01</v>
      </c>
      <c r="P92" s="25">
        <f aca="true" t="shared" si="47" ref="P92:P97">N92/12</f>
        <v>0</v>
      </c>
      <c r="Q92" s="101">
        <v>0</v>
      </c>
      <c r="R92" s="25">
        <f>VLOOKUP($H92,QUALIFICHE!$A:$J,8)</f>
        <v>0</v>
      </c>
      <c r="S92" s="51">
        <v>0</v>
      </c>
      <c r="T92" s="51">
        <v>0</v>
      </c>
      <c r="U92" s="25">
        <f>VLOOKUP($H92,QUALIFICHE!$A:$J,9)</f>
        <v>52.08</v>
      </c>
      <c r="V92" s="25">
        <f>VLOOKUP($H92,QUALIFICHE!$A:$J,10)</f>
        <v>497.52</v>
      </c>
      <c r="W92" s="25">
        <f>VLOOKUP($H92,QUALIFICHE!$A:$K,11)</f>
        <v>158.4</v>
      </c>
      <c r="X92" s="73">
        <f aca="true" t="shared" si="48" ref="X92:X97">J92+K92+L92+N92+O92+P92+Q92+M92+R92+S92+T92+U92+V92+W92</f>
        <v>23588.120000000003</v>
      </c>
      <c r="Y92" s="71">
        <f aca="true" t="shared" si="49" ref="Y92:Y97">X92-Q92</f>
        <v>23588.120000000003</v>
      </c>
      <c r="Z92" s="71">
        <f aca="true" t="shared" si="50" ref="Z92:Z97">Y92-U92-V92-T92</f>
        <v>23038.52</v>
      </c>
      <c r="AA92" s="25">
        <f>VLOOKUP($H92,QUALIFICHE!$A:$J,7)</f>
        <v>1.3</v>
      </c>
      <c r="AB92" s="72">
        <f aca="true" t="shared" si="51" ref="AB92:AB97">Y92*AA92/100</f>
        <v>306.64556000000005</v>
      </c>
    </row>
    <row r="93" spans="1:28" s="15" customFormat="1" ht="15" customHeight="1" outlineLevel="2">
      <c r="A93" s="48">
        <v>2</v>
      </c>
      <c r="B93" s="48" t="s">
        <v>49</v>
      </c>
      <c r="C93" s="49">
        <v>560</v>
      </c>
      <c r="D93" s="43">
        <f>VLOOKUP($C93,CAPITOLI!$A:$E,3)</f>
        <v>10</v>
      </c>
      <c r="E93" s="44">
        <f>VLOOKUP($C93,CAPITOLI!$A:$E,4)</f>
        <v>4</v>
      </c>
      <c r="F93" s="45">
        <f>VLOOKUP($C93,CAPITOLI!$A:$E,5)</f>
        <v>1</v>
      </c>
      <c r="G93" s="49" t="s">
        <v>2</v>
      </c>
      <c r="H93" s="50" t="s">
        <v>8</v>
      </c>
      <c r="I93" s="46" t="str">
        <f>VLOOKUP(H93,QUALIFICHE!A:B,2,TRUE)</f>
        <v>ESECUTORE      </v>
      </c>
      <c r="J93" s="25">
        <f>VLOOKUP(H93,QUALIFICHE!A:J,3)</f>
        <v>18496.61</v>
      </c>
      <c r="K93" s="51">
        <v>0</v>
      </c>
      <c r="L93" s="51">
        <v>337.8</v>
      </c>
      <c r="M93" s="51">
        <v>0</v>
      </c>
      <c r="N93" s="25">
        <f>VLOOKUP($H93,QUALIFICHE!$A:$J,5)</f>
        <v>0</v>
      </c>
      <c r="O93" s="25">
        <f t="shared" si="46"/>
        <v>1569.53</v>
      </c>
      <c r="P93" s="25">
        <f t="shared" si="47"/>
        <v>0</v>
      </c>
      <c r="Q93" s="103">
        <v>123.96</v>
      </c>
      <c r="R93" s="25">
        <f>VLOOKUP($H93,QUALIFICHE!$A:$J,8)</f>
        <v>64.56</v>
      </c>
      <c r="S93" s="51">
        <v>0</v>
      </c>
      <c r="T93" s="51">
        <v>0</v>
      </c>
      <c r="U93" s="25">
        <f>VLOOKUP($H93,QUALIFICHE!$A:$J,9)</f>
        <v>44.76</v>
      </c>
      <c r="V93" s="25">
        <f>VLOOKUP($H93,QUALIFICHE!$A:$J,10)</f>
        <v>426.96</v>
      </c>
      <c r="W93" s="25">
        <f>VLOOKUP($H93,QUALIFICHE!$A:$K,11)</f>
        <v>138.72</v>
      </c>
      <c r="X93" s="73">
        <f t="shared" si="48"/>
        <v>21202.899999999998</v>
      </c>
      <c r="Y93" s="71">
        <f t="shared" si="49"/>
        <v>21078.94</v>
      </c>
      <c r="Z93" s="71">
        <f t="shared" si="50"/>
        <v>20607.22</v>
      </c>
      <c r="AA93" s="25">
        <f>VLOOKUP($H93,QUALIFICHE!$A:$J,7)</f>
        <v>1.9</v>
      </c>
      <c r="AB93" s="72">
        <f t="shared" si="51"/>
        <v>400.49985999999996</v>
      </c>
    </row>
    <row r="94" spans="1:28" s="15" customFormat="1" ht="15" customHeight="1" outlineLevel="2">
      <c r="A94" s="48">
        <v>3</v>
      </c>
      <c r="B94" s="48" t="s">
        <v>460</v>
      </c>
      <c r="C94" s="49">
        <v>560</v>
      </c>
      <c r="D94" s="43"/>
      <c r="E94" s="44"/>
      <c r="F94" s="45"/>
      <c r="G94" s="49" t="s">
        <v>2</v>
      </c>
      <c r="H94" s="50" t="s">
        <v>6</v>
      </c>
      <c r="I94" s="46" t="s">
        <v>349</v>
      </c>
      <c r="J94" s="25">
        <v>0</v>
      </c>
      <c r="K94" s="51">
        <v>0</v>
      </c>
      <c r="L94" s="51">
        <v>0</v>
      </c>
      <c r="M94" s="51"/>
      <c r="N94" s="25">
        <f>VLOOKUP($H94,QUALIFICHE!$A:$J,5)</f>
        <v>0</v>
      </c>
      <c r="O94" s="25">
        <f t="shared" si="46"/>
        <v>0</v>
      </c>
      <c r="P94" s="25">
        <f t="shared" si="47"/>
        <v>0</v>
      </c>
      <c r="Q94" s="101">
        <v>0</v>
      </c>
      <c r="R94" s="25">
        <f>VLOOKUP($H94,QUALIFICHE!$A:$J,8)</f>
        <v>0</v>
      </c>
      <c r="S94" s="51">
        <v>0</v>
      </c>
      <c r="T94" s="51">
        <v>0</v>
      </c>
      <c r="U94" s="25">
        <v>0</v>
      </c>
      <c r="V94" s="25">
        <v>0</v>
      </c>
      <c r="W94" s="25">
        <v>0</v>
      </c>
      <c r="X94" s="73">
        <f t="shared" si="48"/>
        <v>0</v>
      </c>
      <c r="Y94" s="71">
        <f t="shared" si="49"/>
        <v>0</v>
      </c>
      <c r="Z94" s="71">
        <f t="shared" si="50"/>
        <v>0</v>
      </c>
      <c r="AA94" s="25"/>
      <c r="AB94" s="72">
        <f t="shared" si="51"/>
        <v>0</v>
      </c>
    </row>
    <row r="95" spans="1:28" s="15" customFormat="1" ht="15" customHeight="1" outlineLevel="2">
      <c r="A95" s="48">
        <v>4</v>
      </c>
      <c r="B95" s="48" t="s">
        <v>436</v>
      </c>
      <c r="C95" s="49">
        <v>560</v>
      </c>
      <c r="D95" s="43">
        <f>VLOOKUP($C95,CAPITOLI!$A:$E,3)</f>
        <v>10</v>
      </c>
      <c r="E95" s="44">
        <f>VLOOKUP($C95,CAPITOLI!$A:$E,4)</f>
        <v>4</v>
      </c>
      <c r="F95" s="45">
        <f>VLOOKUP($C95,CAPITOLI!$A:$E,5)</f>
        <v>1</v>
      </c>
      <c r="G95" s="49" t="s">
        <v>2</v>
      </c>
      <c r="H95" s="50" t="s">
        <v>10</v>
      </c>
      <c r="I95" s="46" t="str">
        <f>VLOOKUP(H95,QUALIFICHE!A:B,2,TRUE)</f>
        <v>ISTRUTT.DIR.VO </v>
      </c>
      <c r="J95" s="25">
        <f>VLOOKUP(H95,QUALIFICHE!A:J,3)</f>
        <v>21166.71</v>
      </c>
      <c r="K95" s="51">
        <v>0</v>
      </c>
      <c r="L95" s="51">
        <v>0</v>
      </c>
      <c r="M95" s="51">
        <v>9500</v>
      </c>
      <c r="N95" s="25">
        <f>VLOOKUP($H95,QUALIFICHE!$A:$J,5)</f>
        <v>0</v>
      </c>
      <c r="O95" s="25">
        <f t="shared" si="46"/>
        <v>2555.56</v>
      </c>
      <c r="P95" s="25">
        <f t="shared" si="47"/>
        <v>0</v>
      </c>
      <c r="Q95" s="103"/>
      <c r="R95" s="25">
        <f>VLOOKUP($H95,QUALIFICHE!$A:$J,8)</f>
        <v>0</v>
      </c>
      <c r="S95" s="51">
        <v>0</v>
      </c>
      <c r="T95" s="51">
        <v>0</v>
      </c>
      <c r="U95" s="25">
        <f>VLOOKUP($H95,QUALIFICHE!$A:$J,9)</f>
        <v>59.4</v>
      </c>
      <c r="V95" s="25">
        <f>VLOOKUP($H95,QUALIFICHE!$A:$J,10)</f>
        <v>563.4</v>
      </c>
      <c r="W95" s="25">
        <f>VLOOKUP($H95,QUALIFICHE!$A:$K,11)</f>
        <v>158.76</v>
      </c>
      <c r="X95" s="73">
        <f t="shared" si="48"/>
        <v>34003.83000000001</v>
      </c>
      <c r="Y95" s="71">
        <f t="shared" si="49"/>
        <v>34003.83000000001</v>
      </c>
      <c r="Z95" s="71">
        <f t="shared" si="50"/>
        <v>33381.030000000006</v>
      </c>
      <c r="AA95" s="25">
        <f>VLOOKUP($H95,QUALIFICHE!$A:$J,7)</f>
        <v>1.3</v>
      </c>
      <c r="AB95" s="72">
        <f t="shared" si="51"/>
        <v>442.04979000000014</v>
      </c>
    </row>
    <row r="96" spans="1:28" s="15" customFormat="1" ht="15" customHeight="1" outlineLevel="2">
      <c r="A96" s="48">
        <v>5</v>
      </c>
      <c r="B96" s="48" t="s">
        <v>458</v>
      </c>
      <c r="C96" s="49">
        <v>560</v>
      </c>
      <c r="D96" s="43">
        <f>VLOOKUP($C96,CAPITOLI!$A:$E,3)</f>
        <v>10</v>
      </c>
      <c r="E96" s="44">
        <f>VLOOKUP($C96,CAPITOLI!$A:$E,4)</f>
        <v>4</v>
      </c>
      <c r="F96" s="45">
        <f>VLOOKUP($C96,CAPITOLI!$A:$E,5)</f>
        <v>1</v>
      </c>
      <c r="G96" s="49" t="s">
        <v>2</v>
      </c>
      <c r="H96" s="50" t="s">
        <v>10</v>
      </c>
      <c r="I96" s="46" t="str">
        <f>VLOOKUP(H96,QUALIFICHE!A:B,2,TRUE)</f>
        <v>ISTRUTT.DIR.VO </v>
      </c>
      <c r="J96" s="25">
        <f>VLOOKUP(H96,QUALIFICHE!A:J,3)</f>
        <v>21166.71</v>
      </c>
      <c r="K96" s="51">
        <v>0</v>
      </c>
      <c r="L96" s="51">
        <v>0</v>
      </c>
      <c r="M96" s="51">
        <v>0</v>
      </c>
      <c r="N96" s="25">
        <f>VLOOKUP($H96,QUALIFICHE!$A:$J,5)</f>
        <v>0</v>
      </c>
      <c r="O96" s="25">
        <f t="shared" si="46"/>
        <v>1763.89</v>
      </c>
      <c r="P96" s="25">
        <f t="shared" si="47"/>
        <v>0</v>
      </c>
      <c r="Q96" s="103"/>
      <c r="R96" s="25">
        <f>VLOOKUP($H96,QUALIFICHE!$A:$J,8)</f>
        <v>0</v>
      </c>
      <c r="S96" s="51">
        <v>0</v>
      </c>
      <c r="T96" s="51">
        <v>0</v>
      </c>
      <c r="U96" s="25">
        <f>VLOOKUP($H96,QUALIFICHE!$A:$J,9)</f>
        <v>59.4</v>
      </c>
      <c r="V96" s="25">
        <f>VLOOKUP($H96,QUALIFICHE!$A:$J,10)</f>
        <v>563.4</v>
      </c>
      <c r="W96" s="25">
        <f>VLOOKUP($H96,QUALIFICHE!$A:$K,11)</f>
        <v>158.76</v>
      </c>
      <c r="X96" s="73">
        <f t="shared" si="48"/>
        <v>23712.16</v>
      </c>
      <c r="Y96" s="71">
        <f t="shared" si="49"/>
        <v>23712.16</v>
      </c>
      <c r="Z96" s="71">
        <f t="shared" si="50"/>
        <v>23089.359999999997</v>
      </c>
      <c r="AA96" s="25">
        <f>VLOOKUP($H96,QUALIFICHE!$A:$J,7)</f>
        <v>1.3</v>
      </c>
      <c r="AB96" s="72">
        <f t="shared" si="51"/>
        <v>308.25808</v>
      </c>
    </row>
    <row r="97" spans="1:28" s="15" customFormat="1" ht="15" customHeight="1" outlineLevel="2">
      <c r="A97" s="48">
        <v>6</v>
      </c>
      <c r="B97" s="48" t="s">
        <v>7</v>
      </c>
      <c r="C97" s="49">
        <v>560</v>
      </c>
      <c r="D97" s="43">
        <f>VLOOKUP($C97,CAPITOLI!$A:$E,3)</f>
        <v>10</v>
      </c>
      <c r="E97" s="44">
        <f>VLOOKUP($C97,CAPITOLI!$A:$E,4)</f>
        <v>4</v>
      </c>
      <c r="F97" s="45">
        <f>VLOOKUP($C97,CAPITOLI!$A:$E,5)</f>
        <v>1</v>
      </c>
      <c r="G97" s="49" t="s">
        <v>2</v>
      </c>
      <c r="H97" s="50" t="s">
        <v>316</v>
      </c>
      <c r="I97" s="46" t="str">
        <f>VLOOKUP(H97,QUALIFICHE!A:B,2,TRUE)</f>
        <v>ESECUTORE      </v>
      </c>
      <c r="J97" s="25">
        <f>VLOOKUP(H97,QUALIFICHE!A:J,3)</f>
        <v>18808.79</v>
      </c>
      <c r="K97" s="51">
        <v>0</v>
      </c>
      <c r="L97" s="51">
        <v>352.48</v>
      </c>
      <c r="M97" s="51">
        <v>0</v>
      </c>
      <c r="N97" s="25">
        <f>VLOOKUP($H97,QUALIFICHE!$A:$J,5)</f>
        <v>0</v>
      </c>
      <c r="O97" s="25">
        <f t="shared" si="46"/>
        <v>1596.77</v>
      </c>
      <c r="P97" s="25">
        <f t="shared" si="47"/>
        <v>0</v>
      </c>
      <c r="Q97" s="101">
        <v>3729.48</v>
      </c>
      <c r="R97" s="25">
        <f>VLOOKUP($H97,QUALIFICHE!$A:$J,8)</f>
        <v>64.56</v>
      </c>
      <c r="S97" s="51">
        <v>0</v>
      </c>
      <c r="T97" s="51">
        <v>0</v>
      </c>
      <c r="U97" s="25">
        <f>VLOOKUP($H97,QUALIFICHE!$A:$J,9)</f>
        <v>44.76</v>
      </c>
      <c r="V97" s="25">
        <f>VLOOKUP($H97,QUALIFICHE!$A:$J,10)</f>
        <v>426.96</v>
      </c>
      <c r="W97" s="25">
        <f>VLOOKUP($H97,QUALIFICHE!$A:$K,11)</f>
        <v>141.12</v>
      </c>
      <c r="X97" s="73">
        <f t="shared" si="48"/>
        <v>25164.92</v>
      </c>
      <c r="Y97" s="71">
        <f t="shared" si="49"/>
        <v>21435.44</v>
      </c>
      <c r="Z97" s="71">
        <f t="shared" si="50"/>
        <v>20963.72</v>
      </c>
      <c r="AA97" s="25">
        <f>VLOOKUP($H97,QUALIFICHE!$A:$J,7)</f>
        <v>1.9</v>
      </c>
      <c r="AB97" s="72">
        <f t="shared" si="51"/>
        <v>407.27335999999997</v>
      </c>
    </row>
    <row r="98" spans="1:28" s="84" customFormat="1" ht="15" customHeight="1" outlineLevel="1">
      <c r="A98" s="75"/>
      <c r="B98" s="75"/>
      <c r="C98" s="76" t="s">
        <v>378</v>
      </c>
      <c r="D98" s="77"/>
      <c r="E98" s="74"/>
      <c r="F98" s="78"/>
      <c r="G98" s="76"/>
      <c r="H98" s="79"/>
      <c r="I98" s="80"/>
      <c r="J98" s="81">
        <f>SUBTOTAL(9,J92:J97)</f>
        <v>100758.93</v>
      </c>
      <c r="K98" s="82">
        <f>SUBTOTAL(9,K92:K97)</f>
        <v>0</v>
      </c>
      <c r="L98" s="82">
        <f>SUBTOTAL(9,L92:L97)</f>
        <v>690.28</v>
      </c>
      <c r="M98" s="82">
        <f>SUBTOTAL(9,M92:M97)</f>
        <v>9500</v>
      </c>
      <c r="N98" s="81">
        <f>SUBTOTAL(9,N92:N96)</f>
        <v>0</v>
      </c>
      <c r="O98" s="81">
        <f>SUBTOTAL(9,O92:O97)</f>
        <v>9245.76</v>
      </c>
      <c r="P98" s="81">
        <f>SUBTOTAL(9,P92:P96)</f>
        <v>0</v>
      </c>
      <c r="Q98" s="104">
        <f>SUBTOTAL(9,Q92:Q97)</f>
        <v>3853.44</v>
      </c>
      <c r="R98" s="81">
        <f>SUBTOTAL(9,R92:R97)</f>
        <v>129.12</v>
      </c>
      <c r="S98" s="82">
        <f>SUBTOTAL(9,S92:S96)</f>
        <v>0</v>
      </c>
      <c r="T98" s="82">
        <f>SUBTOTAL(9,T92:T96)</f>
        <v>0</v>
      </c>
      <c r="U98" s="81">
        <f>SUBTOTAL(9,U92:U97)</f>
        <v>260.40000000000003</v>
      </c>
      <c r="V98" s="81">
        <f>SUBTOTAL(9,V92:V97)</f>
        <v>2478.2400000000002</v>
      </c>
      <c r="W98" s="81">
        <f>SUBTOTAL(9,W92:W96)</f>
        <v>614.64</v>
      </c>
      <c r="X98" s="83">
        <f>SUBTOTAL(9,X92:X97)</f>
        <v>127671.93000000001</v>
      </c>
      <c r="Y98" s="83">
        <f>SUBTOTAL(9,Y92:Y97)</f>
        <v>123818.49000000002</v>
      </c>
      <c r="Z98" s="83">
        <f>SUBTOTAL(9,Z92:Z97)</f>
        <v>121079.85000000002</v>
      </c>
      <c r="AA98" s="81"/>
      <c r="AB98" s="83">
        <f>SUBTOTAL(9,AB92:AB97)</f>
        <v>1864.7266500000003</v>
      </c>
    </row>
    <row r="99" spans="1:28" s="15" customFormat="1" ht="15" customHeight="1" outlineLevel="2">
      <c r="A99" s="48">
        <v>1</v>
      </c>
      <c r="B99" s="48" t="s">
        <v>41</v>
      </c>
      <c r="C99" s="49">
        <v>610</v>
      </c>
      <c r="D99" s="43">
        <f>VLOOKUP($C99,CAPITOLI!$A:$E,3)</f>
        <v>11</v>
      </c>
      <c r="E99" s="44">
        <f>VLOOKUP($C99,CAPITOLI!$A:$E,4)</f>
        <v>2</v>
      </c>
      <c r="F99" s="45">
        <f>VLOOKUP($C99,CAPITOLI!$A:$E,5)</f>
        <v>1</v>
      </c>
      <c r="G99" s="49" t="s">
        <v>2</v>
      </c>
      <c r="H99" s="50" t="s">
        <v>30</v>
      </c>
      <c r="I99" s="46" t="str">
        <f>VLOOKUP(H99,QUALIFICHE!A:B,2,TRUE)</f>
        <v>OPERATORE      </v>
      </c>
      <c r="J99" s="25">
        <f>VLOOKUP(H99,QUALIFICHE!A:J,3)</f>
        <v>16884.36</v>
      </c>
      <c r="K99" s="51">
        <v>0</v>
      </c>
      <c r="L99" s="51">
        <v>708.41</v>
      </c>
      <c r="M99" s="51">
        <v>0</v>
      </c>
      <c r="N99" s="25">
        <f>VLOOKUP($H99,QUALIFICHE!$A:$J,5)</f>
        <v>0</v>
      </c>
      <c r="O99" s="25">
        <f>ROUND((J99+K99+L99+M99)/12,2)</f>
        <v>1466.06</v>
      </c>
      <c r="P99" s="25">
        <f>N99/12</f>
        <v>0</v>
      </c>
      <c r="Q99" s="103">
        <v>309.84</v>
      </c>
      <c r="R99" s="25">
        <f>VLOOKUP($H99,QUALIFICHE!$A:$J,8)</f>
        <v>64.56</v>
      </c>
      <c r="S99" s="51">
        <v>0</v>
      </c>
      <c r="T99" s="51">
        <v>0</v>
      </c>
      <c r="U99" s="25">
        <f>VLOOKUP($H99,QUALIFICHE!$A:$J,9)</f>
        <v>37.08</v>
      </c>
      <c r="V99" s="25">
        <f>VLOOKUP($H99,QUALIFICHE!$A:$J,10)</f>
        <v>351.72</v>
      </c>
      <c r="W99" s="25">
        <f>VLOOKUP($H99,QUALIFICHE!$A:$K,11)</f>
        <v>126.6</v>
      </c>
      <c r="X99" s="73">
        <f>J99+K99+L99+N99+O99+P99+Q99+M99+R99+S99+T99+U99+V99+W99</f>
        <v>19948.630000000005</v>
      </c>
      <c r="Y99" s="71">
        <f>X99-Q99</f>
        <v>19638.790000000005</v>
      </c>
      <c r="Z99" s="71">
        <f>Y99-U99-V99-T99</f>
        <v>19249.99</v>
      </c>
      <c r="AA99" s="25">
        <f>VLOOKUP($H99,QUALIFICHE!$A:$J,7)</f>
        <v>3.5</v>
      </c>
      <c r="AB99" s="72">
        <f>Y99*AA99/100</f>
        <v>687.3576500000001</v>
      </c>
    </row>
    <row r="100" spans="1:28" s="84" customFormat="1" ht="15" customHeight="1" outlineLevel="1">
      <c r="A100" s="75"/>
      <c r="B100" s="75"/>
      <c r="C100" s="76" t="s">
        <v>379</v>
      </c>
      <c r="D100" s="77"/>
      <c r="E100" s="74"/>
      <c r="F100" s="78"/>
      <c r="G100" s="76"/>
      <c r="H100" s="79"/>
      <c r="I100" s="80"/>
      <c r="J100" s="81">
        <f aca="true" t="shared" si="52" ref="J100:P100">SUBTOTAL(9,J99:J99)</f>
        <v>16884.36</v>
      </c>
      <c r="K100" s="82">
        <f t="shared" si="52"/>
        <v>0</v>
      </c>
      <c r="L100" s="82">
        <f t="shared" si="52"/>
        <v>708.41</v>
      </c>
      <c r="M100" s="82">
        <f>SUBTOTAL(9,M99:M99)</f>
        <v>0</v>
      </c>
      <c r="N100" s="81">
        <f t="shared" si="52"/>
        <v>0</v>
      </c>
      <c r="O100" s="81">
        <f t="shared" si="52"/>
        <v>1466.06</v>
      </c>
      <c r="P100" s="81">
        <f t="shared" si="52"/>
        <v>0</v>
      </c>
      <c r="Q100" s="104">
        <f aca="true" t="shared" si="53" ref="Q100:X100">SUBTOTAL(9,Q99:Q99)</f>
        <v>309.84</v>
      </c>
      <c r="R100" s="81">
        <f t="shared" si="53"/>
        <v>64.56</v>
      </c>
      <c r="S100" s="82">
        <f t="shared" si="53"/>
        <v>0</v>
      </c>
      <c r="T100" s="82">
        <f t="shared" si="53"/>
        <v>0</v>
      </c>
      <c r="U100" s="81">
        <f t="shared" si="53"/>
        <v>37.08</v>
      </c>
      <c r="V100" s="81">
        <f t="shared" si="53"/>
        <v>351.72</v>
      </c>
      <c r="W100" s="81">
        <f t="shared" si="53"/>
        <v>126.6</v>
      </c>
      <c r="X100" s="83">
        <f t="shared" si="53"/>
        <v>19948.630000000005</v>
      </c>
      <c r="Y100" s="83">
        <f>SUBTOTAL(9,Y99:Y99)</f>
        <v>19638.790000000005</v>
      </c>
      <c r="Z100" s="83">
        <f>SUBTOTAL(9,Z99:Z99)</f>
        <v>19249.99</v>
      </c>
      <c r="AA100" s="81"/>
      <c r="AB100" s="83">
        <f>SUBTOTAL(9,AB99:AB99)</f>
        <v>687.3576500000001</v>
      </c>
    </row>
    <row r="101" spans="1:28" s="15" customFormat="1" ht="15" customHeight="1" outlineLevel="2">
      <c r="A101" s="48">
        <v>1</v>
      </c>
      <c r="B101" s="48" t="s">
        <v>81</v>
      </c>
      <c r="C101" s="49">
        <v>637</v>
      </c>
      <c r="D101" s="43">
        <f>VLOOKUP($C101,CAPITOLI!$A:$E,3)</f>
        <v>12</v>
      </c>
      <c r="E101" s="44">
        <f>VLOOKUP($C101,CAPITOLI!$A:$E,4)</f>
        <v>6</v>
      </c>
      <c r="F101" s="45">
        <f>VLOOKUP($C101,CAPITOLI!$A:$E,5)</f>
        <v>1</v>
      </c>
      <c r="G101" s="49" t="s">
        <v>2</v>
      </c>
      <c r="H101" s="50" t="s">
        <v>325</v>
      </c>
      <c r="I101" s="46" t="str">
        <f>VLOOKUP(H101,QUALIFICHE!A:B,2,TRUE)</f>
        <v>ISTRUTT.DIR.VO </v>
      </c>
      <c r="J101" s="25">
        <f>VLOOKUP(H101,QUALIFICHE!A:J,3)</f>
        <v>22203.89</v>
      </c>
      <c r="K101" s="51">
        <v>0</v>
      </c>
      <c r="L101" s="51">
        <v>590.96</v>
      </c>
      <c r="M101" s="51">
        <v>9500</v>
      </c>
      <c r="N101" s="25">
        <f>VLOOKUP($H101,QUALIFICHE!$A:$J,5)</f>
        <v>0</v>
      </c>
      <c r="O101" s="25">
        <f>ROUND((J101+K101+L101+M101)/12,2)</f>
        <v>2691.24</v>
      </c>
      <c r="P101" s="25">
        <f>N101/12</f>
        <v>0</v>
      </c>
      <c r="Q101" s="103">
        <v>40.56</v>
      </c>
      <c r="R101" s="25">
        <f>VLOOKUP($H101,QUALIFICHE!$A:$J,8)</f>
        <v>0</v>
      </c>
      <c r="S101" s="51">
        <v>0</v>
      </c>
      <c r="T101" s="51">
        <v>0</v>
      </c>
      <c r="U101" s="25">
        <f>VLOOKUP($H101,QUALIFICHE!$A:$J,9)</f>
        <v>59.4</v>
      </c>
      <c r="V101" s="25">
        <f>VLOOKUP($H101,QUALIFICHE!$A:$J,10)</f>
        <v>563.4</v>
      </c>
      <c r="W101" s="25">
        <f>VLOOKUP($H101,QUALIFICHE!$A:$K,11)</f>
        <v>166.56</v>
      </c>
      <c r="X101" s="73">
        <f>J101+K101+L101+N101+O101+P101+Q101+M101+R101+S101+T101+U101+V101+W101</f>
        <v>35816.009999999995</v>
      </c>
      <c r="Y101" s="71">
        <f>X101-Q101</f>
        <v>35775.45</v>
      </c>
      <c r="Z101" s="71">
        <f>Y101-U101-V101-T101</f>
        <v>35152.649999999994</v>
      </c>
      <c r="AA101" s="25">
        <f>VLOOKUP($H101,QUALIFICHE!$A:$J,7)</f>
        <v>1.3</v>
      </c>
      <c r="AB101" s="72">
        <f>Y101*AA101/100</f>
        <v>465.08085</v>
      </c>
    </row>
    <row r="102" spans="1:28" s="15" customFormat="1" ht="15" customHeight="1" outlineLevel="2">
      <c r="A102" s="48">
        <v>2</v>
      </c>
      <c r="B102" s="48" t="s">
        <v>82</v>
      </c>
      <c r="C102" s="49">
        <v>637</v>
      </c>
      <c r="D102" s="43">
        <f>VLOOKUP($C102,CAPITOLI!$A:$E,3)</f>
        <v>12</v>
      </c>
      <c r="E102" s="44">
        <f>VLOOKUP($C102,CAPITOLI!$A:$E,4)</f>
        <v>6</v>
      </c>
      <c r="F102" s="45">
        <f>VLOOKUP($C102,CAPITOLI!$A:$E,5)</f>
        <v>1</v>
      </c>
      <c r="G102" s="49" t="s">
        <v>2</v>
      </c>
      <c r="H102" s="50" t="s">
        <v>28</v>
      </c>
      <c r="I102" s="46" t="str">
        <f>VLOOKUP(H102,QUALIFICHE!A:B,2,TRUE)</f>
        <v>ISTRUTTORE     </v>
      </c>
      <c r="J102" s="25">
        <f>VLOOKUP(H102,QUALIFICHE!A:J,3)</f>
        <v>21120.11</v>
      </c>
      <c r="K102" s="51">
        <v>0</v>
      </c>
      <c r="L102" s="51">
        <v>624.92</v>
      </c>
      <c r="M102" s="51">
        <v>0</v>
      </c>
      <c r="N102" s="25">
        <f>VLOOKUP($H102,QUALIFICHE!$A:$J,5)</f>
        <v>0</v>
      </c>
      <c r="O102" s="25">
        <f>ROUND((J102+K102+L102+M102)/12,2)</f>
        <v>1812.09</v>
      </c>
      <c r="P102" s="25">
        <f>N102/12</f>
        <v>0</v>
      </c>
      <c r="Q102" s="103">
        <v>565.56</v>
      </c>
      <c r="R102" s="25">
        <f>VLOOKUP($H102,QUALIFICHE!$A:$J,8)</f>
        <v>0</v>
      </c>
      <c r="S102" s="51">
        <v>0</v>
      </c>
      <c r="T102" s="51">
        <v>0</v>
      </c>
      <c r="U102" s="25">
        <f>VLOOKUP($H102,QUALIFICHE!$A:$J,9)</f>
        <v>52.08</v>
      </c>
      <c r="V102" s="25">
        <f>VLOOKUP($H102,QUALIFICHE!$A:$J,10)</f>
        <v>497.52</v>
      </c>
      <c r="W102" s="25">
        <f>VLOOKUP($H102,QUALIFICHE!$A:$K,11)</f>
        <v>158.4</v>
      </c>
      <c r="X102" s="73">
        <f>J102+K102+L102+N102+O102+P102+Q102+M102+R102+S102+T102+U102+V102+W102</f>
        <v>24830.680000000004</v>
      </c>
      <c r="Y102" s="71">
        <f>X102-Q102</f>
        <v>24265.120000000003</v>
      </c>
      <c r="Z102" s="71">
        <f>Y102-U102-V102-T102</f>
        <v>23715.52</v>
      </c>
      <c r="AA102" s="25">
        <f>VLOOKUP($H102,QUALIFICHE!$A:$J,7)</f>
        <v>1.3</v>
      </c>
      <c r="AB102" s="72">
        <f>Y102*AA102/100</f>
        <v>315.44656000000003</v>
      </c>
    </row>
    <row r="103" spans="1:28" s="84" customFormat="1" ht="15" customHeight="1" outlineLevel="1">
      <c r="A103" s="80"/>
      <c r="B103" s="86"/>
      <c r="C103" s="74" t="s">
        <v>380</v>
      </c>
      <c r="D103" s="74"/>
      <c r="E103" s="74"/>
      <c r="F103" s="78"/>
      <c r="G103" s="85"/>
      <c r="H103" s="85"/>
      <c r="I103" s="80"/>
      <c r="J103" s="81">
        <f aca="true" t="shared" si="54" ref="J103:P103">SUBTOTAL(9,J101:J102)</f>
        <v>43324</v>
      </c>
      <c r="K103" s="81">
        <f t="shared" si="54"/>
        <v>0</v>
      </c>
      <c r="L103" s="81">
        <f t="shared" si="54"/>
        <v>1215.88</v>
      </c>
      <c r="M103" s="81">
        <f>SUBTOTAL(9,M101:M102)</f>
        <v>9500</v>
      </c>
      <c r="N103" s="81">
        <f t="shared" si="54"/>
        <v>0</v>
      </c>
      <c r="O103" s="81">
        <f t="shared" si="54"/>
        <v>4503.33</v>
      </c>
      <c r="P103" s="81">
        <f t="shared" si="54"/>
        <v>0</v>
      </c>
      <c r="Q103" s="105">
        <f aca="true" t="shared" si="55" ref="Q103:X103">SUBTOTAL(9,Q101:Q102)</f>
        <v>606.1199999999999</v>
      </c>
      <c r="R103" s="81">
        <f t="shared" si="55"/>
        <v>0</v>
      </c>
      <c r="S103" s="81">
        <f t="shared" si="55"/>
        <v>0</v>
      </c>
      <c r="T103" s="81">
        <f t="shared" si="55"/>
        <v>0</v>
      </c>
      <c r="U103" s="81">
        <f t="shared" si="55"/>
        <v>111.47999999999999</v>
      </c>
      <c r="V103" s="81">
        <f t="shared" si="55"/>
        <v>1060.92</v>
      </c>
      <c r="W103" s="81">
        <f t="shared" si="55"/>
        <v>324.96000000000004</v>
      </c>
      <c r="X103" s="83">
        <f t="shared" si="55"/>
        <v>60646.69</v>
      </c>
      <c r="Y103" s="83">
        <f>SUBTOTAL(9,Y101:Y102)</f>
        <v>60040.57</v>
      </c>
      <c r="Z103" s="83">
        <f>SUBTOTAL(9,Z101:Z102)</f>
        <v>58868.17</v>
      </c>
      <c r="AB103" s="83">
        <f>SUBTOTAL(9,AB101:AB102)</f>
        <v>780.52741</v>
      </c>
    </row>
    <row r="104" spans="1:28" s="54" customFormat="1" ht="15" customHeight="1">
      <c r="A104" s="52"/>
      <c r="B104" s="131" t="s">
        <v>443</v>
      </c>
      <c r="C104" s="131"/>
      <c r="D104" s="131"/>
      <c r="E104" s="131"/>
      <c r="F104" s="131"/>
      <c r="G104" s="131"/>
      <c r="H104" s="131"/>
      <c r="I104" s="131"/>
      <c r="J104" s="53">
        <f aca="true" t="shared" si="56" ref="J104:P104">SUBTOTAL(9,J4:J102)</f>
        <v>1593931.6800000009</v>
      </c>
      <c r="K104" s="53">
        <f t="shared" si="56"/>
        <v>10164.8</v>
      </c>
      <c r="L104" s="53">
        <f t="shared" si="56"/>
        <v>28174.250000000004</v>
      </c>
      <c r="M104" s="53">
        <f>SUBTOTAL(9,M4:M102)</f>
        <v>80873.66</v>
      </c>
      <c r="N104" s="53">
        <f t="shared" si="56"/>
        <v>1308.12</v>
      </c>
      <c r="O104" s="53">
        <f t="shared" si="56"/>
        <v>142762.05999999994</v>
      </c>
      <c r="P104" s="53">
        <f t="shared" si="56"/>
        <v>109.01</v>
      </c>
      <c r="Q104" s="106">
        <f aca="true" t="shared" si="57" ref="Q104:AB104">SUBTOTAL(9,Q4:Q102)</f>
        <v>20840.520000000004</v>
      </c>
      <c r="R104" s="53">
        <f t="shared" si="57"/>
        <v>4221.720000000001</v>
      </c>
      <c r="S104" s="53">
        <f t="shared" si="57"/>
        <v>11108.4</v>
      </c>
      <c r="T104" s="53">
        <f>SUBTOTAL(9,T4:T102)</f>
        <v>2386.44</v>
      </c>
      <c r="U104" s="53">
        <f t="shared" si="57"/>
        <v>3913.560000000001</v>
      </c>
      <c r="V104" s="53">
        <f t="shared" si="57"/>
        <v>37293.48</v>
      </c>
      <c r="W104" s="53">
        <f t="shared" si="57"/>
        <v>11937.82</v>
      </c>
      <c r="X104" s="47">
        <f t="shared" si="57"/>
        <v>1961307.52</v>
      </c>
      <c r="Y104" s="47">
        <f t="shared" si="57"/>
        <v>1940467.0000000002</v>
      </c>
      <c r="Z104" s="47">
        <f t="shared" si="57"/>
        <v>1896873.5199999998</v>
      </c>
      <c r="AB104" s="47">
        <f t="shared" si="57"/>
        <v>29671.710950000008</v>
      </c>
    </row>
    <row r="105" spans="1:2" ht="29.25" customHeight="1">
      <c r="A105" s="90" t="s">
        <v>431</v>
      </c>
      <c r="B105" s="90" t="s">
        <v>485</v>
      </c>
    </row>
    <row r="107" spans="1:28" s="15" customFormat="1" ht="15" customHeight="1" outlineLevel="2">
      <c r="A107" s="48">
        <v>1</v>
      </c>
      <c r="B107" s="48" t="s">
        <v>470</v>
      </c>
      <c r="C107" s="49">
        <v>711</v>
      </c>
      <c r="D107" s="43"/>
      <c r="E107" s="44"/>
      <c r="F107" s="45"/>
      <c r="G107" s="49" t="s">
        <v>468</v>
      </c>
      <c r="H107" s="50" t="s">
        <v>471</v>
      </c>
      <c r="I107" s="46" t="str">
        <f>VLOOKUP(H107,QUALIFICHE!A:B,2,FALSE)</f>
        <v>ISTRUTT.DIR.VO </v>
      </c>
      <c r="J107" s="25">
        <f>VLOOKUP(H107,QUALIFICHE!A:J,3,FALSE)</f>
        <v>14111.88</v>
      </c>
      <c r="K107" s="51">
        <v>0</v>
      </c>
      <c r="L107" s="51">
        <v>0</v>
      </c>
      <c r="M107" s="51">
        <v>0</v>
      </c>
      <c r="N107" s="25">
        <f>VLOOKUP($H107,QUALIFICHE!$A:$J,5)</f>
        <v>0</v>
      </c>
      <c r="O107" s="25">
        <f>ROUND((J107+K107+L107+M107)/12,2)</f>
        <v>1175.99</v>
      </c>
      <c r="P107" s="25">
        <f>N107/12</f>
        <v>0</v>
      </c>
      <c r="Q107" s="51">
        <v>0</v>
      </c>
      <c r="R107" s="25">
        <f>VLOOKUP($H107,QUALIFICHE!$A:$J,8)</f>
        <v>0</v>
      </c>
      <c r="S107" s="51">
        <v>0</v>
      </c>
      <c r="T107" s="51">
        <v>0</v>
      </c>
      <c r="U107" s="25">
        <f>VLOOKUP($H107,QUALIFICHE!$A:$J,9)</f>
        <v>39.6</v>
      </c>
      <c r="V107" s="25">
        <f>VLOOKUP($H107,QUALIFICHE!$A:$J,10)</f>
        <v>375.6</v>
      </c>
      <c r="W107" s="25">
        <f>VLOOKUP($H107,QUALIFICHE!$A:$K,11)</f>
        <v>105.84</v>
      </c>
      <c r="X107" s="73">
        <f>J107+K107+L107+N107+O107+P107+Q107+M107+R107+S107+T107+U107+V107+W107</f>
        <v>15808.91</v>
      </c>
      <c r="Y107" s="71">
        <f>X107-Q107</f>
        <v>15808.91</v>
      </c>
      <c r="Z107" s="71">
        <f>Y107-U107-V107-T107</f>
        <v>15393.71</v>
      </c>
      <c r="AA107" s="25">
        <f>VLOOKUP($H107,QUALIFICHE!$A:$J,7)</f>
        <v>1.3</v>
      </c>
      <c r="AB107" s="72">
        <f>Y107*AA107/100</f>
        <v>205.51583</v>
      </c>
    </row>
    <row r="108" spans="1:28" s="15" customFormat="1" ht="15" customHeight="1" outlineLevel="2">
      <c r="A108" s="48">
        <v>2</v>
      </c>
      <c r="B108" s="48" t="s">
        <v>477</v>
      </c>
      <c r="C108" s="49">
        <v>711</v>
      </c>
      <c r="D108" s="43"/>
      <c r="E108" s="44"/>
      <c r="F108" s="45"/>
      <c r="G108" s="49" t="s">
        <v>468</v>
      </c>
      <c r="H108" s="50" t="s">
        <v>472</v>
      </c>
      <c r="I108" s="46" t="str">
        <f>VLOOKUP(H108,QUALIFICHE!A:B,2,TRUE)</f>
        <v>ISTRUTT.DIR.VO </v>
      </c>
      <c r="J108" s="25">
        <f>VLOOKUP(H108,QUALIFICHE!A:J,3)</f>
        <v>10583.4</v>
      </c>
      <c r="K108" s="51">
        <v>0</v>
      </c>
      <c r="L108" s="51">
        <v>0</v>
      </c>
      <c r="M108" s="51">
        <v>0</v>
      </c>
      <c r="N108" s="25">
        <f>VLOOKUP($H108,QUALIFICHE!$A:$J,5)</f>
        <v>0</v>
      </c>
      <c r="O108" s="25">
        <f>ROUND((J108+K108+L108+M108)/12,2)</f>
        <v>881.95</v>
      </c>
      <c r="P108" s="25">
        <f>N108/12</f>
        <v>0</v>
      </c>
      <c r="Q108" s="51">
        <v>0</v>
      </c>
      <c r="R108" s="25">
        <f>VLOOKUP($H108,QUALIFICHE!$A:$J,8)</f>
        <v>0</v>
      </c>
      <c r="S108" s="51">
        <v>0</v>
      </c>
      <c r="T108" s="51">
        <v>0</v>
      </c>
      <c r="U108" s="25">
        <f>VLOOKUP($H108,QUALIFICHE!$A:$J,9)</f>
        <v>29.7</v>
      </c>
      <c r="V108" s="25">
        <f>VLOOKUP($H108,QUALIFICHE!$A:$J,10)</f>
        <v>281.7</v>
      </c>
      <c r="W108" s="25">
        <f>VLOOKUP($H108,QUALIFICHE!$A:$K,11)</f>
        <v>79.44</v>
      </c>
      <c r="X108" s="73">
        <f>J108+K108+L108+N108+O108+P108+Q108+M108+R108+S108+T108+U108+V108+W108</f>
        <v>11856.190000000002</v>
      </c>
      <c r="Y108" s="71">
        <f>X108-Q108</f>
        <v>11856.190000000002</v>
      </c>
      <c r="Z108" s="71">
        <f>Y108-U108-V108-T108</f>
        <v>11544.79</v>
      </c>
      <c r="AA108" s="25">
        <f>VLOOKUP($H108,QUALIFICHE!$A:$J,7)</f>
        <v>1.3</v>
      </c>
      <c r="AB108" s="72">
        <f>Y108*AA108/100</f>
        <v>154.13047000000003</v>
      </c>
    </row>
    <row r="109" spans="1:28" s="15" customFormat="1" ht="15" customHeight="1" outlineLevel="2">
      <c r="A109" s="48">
        <v>3</v>
      </c>
      <c r="B109" s="48" t="s">
        <v>482</v>
      </c>
      <c r="C109" s="49">
        <v>711</v>
      </c>
      <c r="D109" s="43"/>
      <c r="E109" s="44"/>
      <c r="F109" s="45"/>
      <c r="G109" s="49" t="s">
        <v>468</v>
      </c>
      <c r="H109" s="50" t="s">
        <v>6</v>
      </c>
      <c r="I109" s="46" t="s">
        <v>349</v>
      </c>
      <c r="J109" s="25">
        <v>12169.07</v>
      </c>
      <c r="K109" s="51"/>
      <c r="L109" s="51"/>
      <c r="M109" s="51">
        <v>5000</v>
      </c>
      <c r="N109" s="25"/>
      <c r="O109" s="25">
        <f>ROUND((J109+K109+L109+M109)/12,2)</f>
        <v>1430.76</v>
      </c>
      <c r="P109" s="25"/>
      <c r="Q109" s="51"/>
      <c r="R109" s="25"/>
      <c r="S109" s="51"/>
      <c r="T109" s="51"/>
      <c r="U109" s="25">
        <v>29.7</v>
      </c>
      <c r="V109" s="25">
        <v>281.7</v>
      </c>
      <c r="W109" s="25">
        <v>79.44</v>
      </c>
      <c r="X109" s="73">
        <f>J109+K109+L109+N109+O109+P109+Q109+M109+R109+S109+T109+U109+V109+W109</f>
        <v>18990.670000000002</v>
      </c>
      <c r="Y109" s="71">
        <f>X109-Q109</f>
        <v>18990.670000000002</v>
      </c>
      <c r="Z109" s="71">
        <f>Y109-U109-V109-T109</f>
        <v>18679.27</v>
      </c>
      <c r="AA109" s="25">
        <v>1.3</v>
      </c>
      <c r="AB109" s="72">
        <f>Y109*AA109/100</f>
        <v>246.87871000000004</v>
      </c>
    </row>
    <row r="110" spans="1:28" s="15" customFormat="1" ht="15" customHeight="1" outlineLevel="2">
      <c r="A110" s="48"/>
      <c r="B110" s="48"/>
      <c r="C110" s="49"/>
      <c r="D110" s="43"/>
      <c r="E110" s="44"/>
      <c r="F110" s="45"/>
      <c r="G110" s="49"/>
      <c r="H110" s="50"/>
      <c r="I110" s="46"/>
      <c r="J110" s="25"/>
      <c r="K110" s="51"/>
      <c r="L110" s="51"/>
      <c r="M110" s="51"/>
      <c r="N110" s="25"/>
      <c r="O110" s="25"/>
      <c r="P110" s="25"/>
      <c r="Q110" s="51"/>
      <c r="R110" s="25"/>
      <c r="S110" s="51"/>
      <c r="T110" s="51"/>
      <c r="U110" s="25"/>
      <c r="V110" s="25"/>
      <c r="W110" s="25"/>
      <c r="X110" s="73"/>
      <c r="Y110" s="71"/>
      <c r="Z110" s="71"/>
      <c r="AA110" s="25"/>
      <c r="AB110" s="72"/>
    </row>
    <row r="111" spans="1:28" s="15" customFormat="1" ht="15" customHeight="1" outlineLevel="2">
      <c r="A111" s="48"/>
      <c r="B111" s="48"/>
      <c r="C111" s="49"/>
      <c r="D111" s="43"/>
      <c r="E111" s="44"/>
      <c r="F111" s="45"/>
      <c r="G111" s="49"/>
      <c r="H111" s="50"/>
      <c r="I111" s="46"/>
      <c r="J111" s="25"/>
      <c r="K111" s="51"/>
      <c r="L111" s="51"/>
      <c r="M111" s="51"/>
      <c r="N111" s="25"/>
      <c r="O111" s="25"/>
      <c r="P111" s="25"/>
      <c r="Q111" s="51"/>
      <c r="R111" s="25"/>
      <c r="S111" s="51"/>
      <c r="T111" s="51"/>
      <c r="U111" s="25"/>
      <c r="V111" s="25"/>
      <c r="W111" s="25"/>
      <c r="X111" s="73"/>
      <c r="Y111" s="71"/>
      <c r="Z111" s="71"/>
      <c r="AA111" s="25"/>
      <c r="AB111" s="72"/>
    </row>
    <row r="112" spans="1:28" s="15" customFormat="1" ht="15" customHeight="1" outlineLevel="2">
      <c r="A112" s="48"/>
      <c r="B112" s="48"/>
      <c r="C112" s="49"/>
      <c r="D112" s="43"/>
      <c r="E112" s="44"/>
      <c r="F112" s="45"/>
      <c r="G112" s="49"/>
      <c r="H112" s="50"/>
      <c r="I112" s="46"/>
      <c r="J112" s="25"/>
      <c r="K112" s="51"/>
      <c r="L112" s="51"/>
      <c r="M112" s="51"/>
      <c r="N112" s="25"/>
      <c r="O112" s="25"/>
      <c r="P112" s="25"/>
      <c r="Q112" s="51"/>
      <c r="R112" s="25"/>
      <c r="S112" s="51"/>
      <c r="T112" s="51"/>
      <c r="U112" s="25"/>
      <c r="V112" s="25"/>
      <c r="W112" s="25"/>
      <c r="X112" s="73"/>
      <c r="Y112" s="71"/>
      <c r="Z112" s="71"/>
      <c r="AA112" s="25"/>
      <c r="AB112" s="72"/>
    </row>
    <row r="113" spans="1:28" s="15" customFormat="1" ht="15" customHeight="1" outlineLevel="2">
      <c r="A113" s="48"/>
      <c r="B113" s="48"/>
      <c r="C113" s="49"/>
      <c r="D113" s="43"/>
      <c r="E113" s="44"/>
      <c r="F113" s="45"/>
      <c r="G113" s="49"/>
      <c r="H113" s="50"/>
      <c r="I113" s="46"/>
      <c r="J113" s="25"/>
      <c r="K113" s="51"/>
      <c r="L113" s="51"/>
      <c r="M113" s="51"/>
      <c r="N113" s="25"/>
      <c r="O113" s="25"/>
      <c r="P113" s="25"/>
      <c r="Q113" s="51"/>
      <c r="R113" s="25"/>
      <c r="S113" s="51"/>
      <c r="T113" s="51"/>
      <c r="U113" s="25"/>
      <c r="V113" s="25"/>
      <c r="W113" s="25"/>
      <c r="X113" s="73"/>
      <c r="Y113" s="71"/>
      <c r="Z113" s="71"/>
      <c r="AA113" s="25"/>
      <c r="AB113" s="72"/>
    </row>
    <row r="114" spans="1:28" s="84" customFormat="1" ht="15" customHeight="1" outlineLevel="1">
      <c r="A114" s="75"/>
      <c r="B114" s="75"/>
      <c r="C114" s="74" t="s">
        <v>469</v>
      </c>
      <c r="D114" s="77"/>
      <c r="E114" s="74"/>
      <c r="F114" s="78"/>
      <c r="G114" s="76"/>
      <c r="H114" s="79"/>
      <c r="I114" s="80"/>
      <c r="J114" s="81">
        <f aca="true" t="shared" si="58" ref="J114:X114">SUBTOTAL(9,J107:J113)</f>
        <v>36864.35</v>
      </c>
      <c r="K114" s="81">
        <f t="shared" si="58"/>
        <v>0</v>
      </c>
      <c r="L114" s="81">
        <f t="shared" si="58"/>
        <v>0</v>
      </c>
      <c r="M114" s="81">
        <f t="shared" si="58"/>
        <v>5000</v>
      </c>
      <c r="N114" s="81">
        <f t="shared" si="58"/>
        <v>0</v>
      </c>
      <c r="O114" s="81">
        <f t="shared" si="58"/>
        <v>3488.7</v>
      </c>
      <c r="P114" s="81">
        <f t="shared" si="58"/>
        <v>0</v>
      </c>
      <c r="Q114" s="81">
        <f t="shared" si="58"/>
        <v>0</v>
      </c>
      <c r="R114" s="81">
        <f t="shared" si="58"/>
        <v>0</v>
      </c>
      <c r="S114" s="81">
        <f t="shared" si="58"/>
        <v>0</v>
      </c>
      <c r="T114" s="81">
        <f t="shared" si="58"/>
        <v>0</v>
      </c>
      <c r="U114" s="81">
        <f t="shared" si="58"/>
        <v>99</v>
      </c>
      <c r="V114" s="81">
        <f t="shared" si="58"/>
        <v>939</v>
      </c>
      <c r="W114" s="81">
        <f t="shared" si="58"/>
        <v>264.72</v>
      </c>
      <c r="X114" s="81">
        <f t="shared" si="58"/>
        <v>46655.770000000004</v>
      </c>
      <c r="Y114" s="83">
        <f>SUBTOTAL(9,Y107:Y111)</f>
        <v>46655.770000000004</v>
      </c>
      <c r="Z114" s="83">
        <f>SUBTOTAL(9,Z107:Z113)</f>
        <v>45617.770000000004</v>
      </c>
      <c r="AA114" s="81"/>
      <c r="AB114" s="83">
        <f>SUBTOTAL(9,AB107:AB111)</f>
        <v>606.5250100000001</v>
      </c>
    </row>
    <row r="116" spans="1:28" s="15" customFormat="1" ht="15" customHeight="1" outlineLevel="2">
      <c r="A116" s="48">
        <v>1</v>
      </c>
      <c r="B116" s="48" t="s">
        <v>453</v>
      </c>
      <c r="C116" s="49">
        <v>713</v>
      </c>
      <c r="D116" s="43">
        <f>VLOOKUP($C116,CAPITOLI!$A:$E,3)</f>
        <v>0</v>
      </c>
      <c r="E116" s="44">
        <f>VLOOKUP($C116,CAPITOLI!$A:$E,4)</f>
        <v>0</v>
      </c>
      <c r="F116" s="45">
        <f>VLOOKUP($C116,CAPITOLI!$A:$E,5)</f>
        <v>0</v>
      </c>
      <c r="G116" s="49"/>
      <c r="H116" s="50"/>
      <c r="I116" s="46"/>
      <c r="J116" s="25"/>
      <c r="K116" s="51">
        <v>0</v>
      </c>
      <c r="L116" s="51">
        <v>0</v>
      </c>
      <c r="M116" s="51">
        <v>0</v>
      </c>
      <c r="N116" s="25"/>
      <c r="O116" s="25">
        <f>ROUND((J116+K116+L116+M116)/12,2)</f>
        <v>0</v>
      </c>
      <c r="P116" s="25">
        <f>N116/12</f>
        <v>0</v>
      </c>
      <c r="Q116" s="51">
        <v>0</v>
      </c>
      <c r="R116" s="25"/>
      <c r="S116" s="51">
        <v>0</v>
      </c>
      <c r="T116" s="51">
        <v>83463</v>
      </c>
      <c r="U116" s="25"/>
      <c r="V116" s="25"/>
      <c r="W116" s="25"/>
      <c r="X116" s="73">
        <f>J116+K116+L116+N116+O116+P116+Q116+M116+R116+S116+T116+U116+V116+W116</f>
        <v>83463</v>
      </c>
      <c r="Y116" s="71">
        <f>X116-Q116</f>
        <v>83463</v>
      </c>
      <c r="Z116" s="71">
        <f>Y116-U116-V116-T116</f>
        <v>0</v>
      </c>
      <c r="AA116" s="25">
        <v>1.3</v>
      </c>
      <c r="AB116" s="72">
        <f>Y116*AA116/100</f>
        <v>1085.019</v>
      </c>
    </row>
    <row r="117" spans="1:28" s="15" customFormat="1" ht="15" customHeight="1" outlineLevel="2">
      <c r="A117" s="48">
        <v>2</v>
      </c>
      <c r="B117" s="48" t="s">
        <v>467</v>
      </c>
      <c r="C117" s="49">
        <v>706</v>
      </c>
      <c r="D117" s="43">
        <f>VLOOKUP($C117,CAPITOLI!$A:$E,3)</f>
        <v>0</v>
      </c>
      <c r="E117" s="44">
        <f>VLOOKUP($C117,CAPITOLI!$A:$E,4)</f>
        <v>0</v>
      </c>
      <c r="F117" s="45">
        <f>VLOOKUP($C117,CAPITOLI!$A:$E,5)</f>
        <v>0</v>
      </c>
      <c r="G117" s="49"/>
      <c r="H117" s="50"/>
      <c r="I117" s="46"/>
      <c r="J117" s="25"/>
      <c r="K117" s="51">
        <v>0</v>
      </c>
      <c r="L117" s="51">
        <v>0</v>
      </c>
      <c r="M117" s="51">
        <v>0</v>
      </c>
      <c r="N117" s="25"/>
      <c r="O117" s="25">
        <f>ROUND((J117+K117+L117+M117)/12,2)</f>
        <v>0</v>
      </c>
      <c r="P117" s="25">
        <f>N117/12</f>
        <v>0</v>
      </c>
      <c r="Q117" s="51">
        <v>0</v>
      </c>
      <c r="R117" s="25"/>
      <c r="S117" s="51">
        <v>0</v>
      </c>
      <c r="T117" s="51">
        <v>19775</v>
      </c>
      <c r="U117" s="25"/>
      <c r="V117" s="25"/>
      <c r="W117" s="25"/>
      <c r="X117" s="73">
        <f>J117+K117+L117+N117+O117+P117+Q117+M117+R117+S117+T117+U117+V117+W117</f>
        <v>19775</v>
      </c>
      <c r="Y117" s="71">
        <f>X117-Q117</f>
        <v>19775</v>
      </c>
      <c r="Z117" s="71">
        <f>Y117-U117-V117-T117</f>
        <v>0</v>
      </c>
      <c r="AA117" s="25">
        <v>1.3</v>
      </c>
      <c r="AB117" s="72">
        <f>Y117*AA117/100</f>
        <v>257.075</v>
      </c>
    </row>
    <row r="118" spans="1:28" s="15" customFormat="1" ht="15" customHeight="1" outlineLevel="2">
      <c r="A118" s="48">
        <v>3</v>
      </c>
      <c r="B118" s="48"/>
      <c r="C118" s="49"/>
      <c r="D118" s="43" t="e">
        <f>VLOOKUP($C118,CAPITOLI!$A:$E,3)</f>
        <v>#N/A</v>
      </c>
      <c r="E118" s="44" t="e">
        <f>VLOOKUP($C118,CAPITOLI!$A:$E,4)</f>
        <v>#N/A</v>
      </c>
      <c r="F118" s="45" t="e">
        <f>VLOOKUP($C118,CAPITOLI!$A:$E,5)</f>
        <v>#N/A</v>
      </c>
      <c r="G118" s="49"/>
      <c r="H118" s="50"/>
      <c r="I118" s="46"/>
      <c r="J118" s="25"/>
      <c r="K118" s="51">
        <v>0</v>
      </c>
      <c r="L118" s="51">
        <v>0</v>
      </c>
      <c r="M118" s="51">
        <v>0</v>
      </c>
      <c r="N118" s="25"/>
      <c r="O118" s="25">
        <f>ROUND((J118+K118+L118+M118)/12,2)</f>
        <v>0</v>
      </c>
      <c r="P118" s="25">
        <f>N118/12</f>
        <v>0</v>
      </c>
      <c r="Q118" s="51">
        <v>0</v>
      </c>
      <c r="R118" s="25"/>
      <c r="S118" s="51">
        <v>0</v>
      </c>
      <c r="T118" s="51"/>
      <c r="U118" s="25"/>
      <c r="V118" s="25"/>
      <c r="W118" s="25"/>
      <c r="X118" s="73">
        <f>J118+K118+L118+N118+O118+P118+Q118+M118+R118+S118+T118+U118+V118+W118</f>
        <v>0</v>
      </c>
      <c r="Y118" s="71">
        <f>X118-Q118</f>
        <v>0</v>
      </c>
      <c r="Z118" s="71">
        <f>Y118-U118-V118-T118</f>
        <v>0</v>
      </c>
      <c r="AA118" s="25">
        <v>1.3</v>
      </c>
      <c r="AB118" s="72">
        <f>Y118*AA118/100</f>
        <v>0</v>
      </c>
    </row>
    <row r="119" spans="1:28" s="15" customFormat="1" ht="15" customHeight="1" outlineLevel="2">
      <c r="A119" s="48">
        <v>4</v>
      </c>
      <c r="B119" s="48"/>
      <c r="C119" s="49"/>
      <c r="D119" s="43" t="e">
        <f>VLOOKUP($C119,CAPITOLI!$A:$E,3)</f>
        <v>#N/A</v>
      </c>
      <c r="E119" s="44" t="e">
        <f>VLOOKUP($C119,CAPITOLI!$A:$E,4)</f>
        <v>#N/A</v>
      </c>
      <c r="F119" s="45" t="e">
        <f>VLOOKUP($C119,CAPITOLI!$A:$E,5)</f>
        <v>#N/A</v>
      </c>
      <c r="G119" s="49"/>
      <c r="H119" s="50"/>
      <c r="I119" s="46"/>
      <c r="J119" s="25"/>
      <c r="K119" s="51">
        <v>0</v>
      </c>
      <c r="L119" s="51">
        <v>0</v>
      </c>
      <c r="M119" s="51">
        <v>0</v>
      </c>
      <c r="N119" s="25"/>
      <c r="O119" s="25">
        <f>ROUND((J119+K119+L119+M119)/12,2)</f>
        <v>0</v>
      </c>
      <c r="P119" s="25">
        <f>N119/12</f>
        <v>0</v>
      </c>
      <c r="Q119" s="51">
        <v>0</v>
      </c>
      <c r="R119" s="25"/>
      <c r="S119" s="51">
        <v>0</v>
      </c>
      <c r="T119" s="51"/>
      <c r="U119" s="25"/>
      <c r="V119" s="25"/>
      <c r="W119" s="25"/>
      <c r="X119" s="73">
        <f>J119+K119+L119+N119+O119+P119+Q119+M119+R119+S119+T119+U119+V119+W119</f>
        <v>0</v>
      </c>
      <c r="Y119" s="71">
        <f>X119-Q119</f>
        <v>0</v>
      </c>
      <c r="Z119" s="71">
        <f>Y119-U119-V119-T119</f>
        <v>0</v>
      </c>
      <c r="AA119" s="25">
        <v>1.3</v>
      </c>
      <c r="AB119" s="72">
        <f>Y119*AA119/100</f>
        <v>0</v>
      </c>
    </row>
    <row r="120" spans="1:28" s="15" customFormat="1" ht="15" customHeight="1" outlineLevel="2">
      <c r="A120" s="48">
        <v>5</v>
      </c>
      <c r="B120" s="48"/>
      <c r="C120" s="49"/>
      <c r="D120" s="43" t="e">
        <f>VLOOKUP($C120,CAPITOLI!$A:$E,3)</f>
        <v>#N/A</v>
      </c>
      <c r="E120" s="44" t="e">
        <f>VLOOKUP($C120,CAPITOLI!$A:$E,4)</f>
        <v>#N/A</v>
      </c>
      <c r="F120" s="45" t="e">
        <f>VLOOKUP($C120,CAPITOLI!$A:$E,5)</f>
        <v>#N/A</v>
      </c>
      <c r="G120" s="49"/>
      <c r="H120" s="50"/>
      <c r="I120" s="46"/>
      <c r="J120" s="25"/>
      <c r="K120" s="51">
        <v>0</v>
      </c>
      <c r="L120" s="51">
        <v>0</v>
      </c>
      <c r="M120" s="51">
        <v>0</v>
      </c>
      <c r="N120" s="25"/>
      <c r="O120" s="25">
        <f>ROUND((J120+K120+L120+M120)/12,2)</f>
        <v>0</v>
      </c>
      <c r="P120" s="25">
        <f>N120/12</f>
        <v>0</v>
      </c>
      <c r="Q120" s="51">
        <v>0</v>
      </c>
      <c r="R120" s="25"/>
      <c r="S120" s="51">
        <v>0</v>
      </c>
      <c r="T120" s="51"/>
      <c r="U120" s="25"/>
      <c r="V120" s="25"/>
      <c r="W120" s="25"/>
      <c r="X120" s="73">
        <f>J120+K120+L120+N120+O120+P120+Q120+M120+R120+S120+T120+U120+V120+W120</f>
        <v>0</v>
      </c>
      <c r="Y120" s="71">
        <f>X120-Q120</f>
        <v>0</v>
      </c>
      <c r="Z120" s="71">
        <f>Y120-U120-V120-T120</f>
        <v>0</v>
      </c>
      <c r="AA120" s="25">
        <v>1.3</v>
      </c>
      <c r="AB120" s="72">
        <f>Y120*AA120/100</f>
        <v>0</v>
      </c>
    </row>
    <row r="121" spans="1:28" s="84" customFormat="1" ht="15" customHeight="1" outlineLevel="1">
      <c r="A121" s="75"/>
      <c r="B121" s="75"/>
      <c r="C121" s="132" t="s">
        <v>445</v>
      </c>
      <c r="D121" s="133"/>
      <c r="E121" s="133"/>
      <c r="F121" s="133"/>
      <c r="G121" s="134"/>
      <c r="H121" s="79"/>
      <c r="I121" s="80"/>
      <c r="J121" s="81">
        <f aca="true" t="shared" si="59" ref="J121:Z121">SUBTOTAL(9,J116:J120)</f>
        <v>0</v>
      </c>
      <c r="K121" s="81">
        <f t="shared" si="59"/>
        <v>0</v>
      </c>
      <c r="L121" s="81">
        <f t="shared" si="59"/>
        <v>0</v>
      </c>
      <c r="M121" s="81">
        <f t="shared" si="59"/>
        <v>0</v>
      </c>
      <c r="N121" s="81">
        <f t="shared" si="59"/>
        <v>0</v>
      </c>
      <c r="O121" s="81">
        <f t="shared" si="59"/>
        <v>0</v>
      </c>
      <c r="P121" s="81">
        <f t="shared" si="59"/>
        <v>0</v>
      </c>
      <c r="Q121" s="81">
        <f t="shared" si="59"/>
        <v>0</v>
      </c>
      <c r="R121" s="81">
        <f t="shared" si="59"/>
        <v>0</v>
      </c>
      <c r="S121" s="81">
        <f t="shared" si="59"/>
        <v>0</v>
      </c>
      <c r="T121" s="81">
        <f t="shared" si="59"/>
        <v>103238</v>
      </c>
      <c r="U121" s="81">
        <f t="shared" si="59"/>
        <v>0</v>
      </c>
      <c r="V121" s="81">
        <f t="shared" si="59"/>
        <v>0</v>
      </c>
      <c r="W121" s="81">
        <f t="shared" si="59"/>
        <v>0</v>
      </c>
      <c r="X121" s="81">
        <f t="shared" si="59"/>
        <v>103238</v>
      </c>
      <c r="Y121" s="83">
        <f t="shared" si="59"/>
        <v>103238</v>
      </c>
      <c r="Z121" s="83">
        <f t="shared" si="59"/>
        <v>0</v>
      </c>
      <c r="AA121" s="81"/>
      <c r="AB121" s="83">
        <f>SUBTOTAL(9,AB116:AB120)</f>
        <v>1342.094</v>
      </c>
    </row>
    <row r="122" spans="1:2" ht="12.75">
      <c r="A122" s="64" t="s">
        <v>454</v>
      </c>
      <c r="B122" s="90" t="s">
        <v>455</v>
      </c>
    </row>
    <row r="123" spans="1:2" ht="12.75">
      <c r="A123" s="64"/>
      <c r="B123" s="90"/>
    </row>
    <row r="124" spans="1:28" s="15" customFormat="1" ht="15" customHeight="1" outlineLevel="2">
      <c r="A124" s="48">
        <v>1</v>
      </c>
      <c r="B124" s="48" t="s">
        <v>449</v>
      </c>
      <c r="C124" s="49" t="s">
        <v>447</v>
      </c>
      <c r="D124" s="43">
        <f>VLOOKUP($C124,CAPITOLI!$A:$E,3)</f>
        <v>0</v>
      </c>
      <c r="E124" s="44">
        <f>VLOOKUP($C124,CAPITOLI!$A:$E,4)</f>
        <v>0</v>
      </c>
      <c r="F124" s="45">
        <f>VLOOKUP($C124,CAPITOLI!$A:$E,5)</f>
        <v>0</v>
      </c>
      <c r="G124" s="49"/>
      <c r="H124" s="50"/>
      <c r="I124" s="46"/>
      <c r="J124" s="25"/>
      <c r="K124" s="51">
        <v>0</v>
      </c>
      <c r="L124" s="51">
        <v>0</v>
      </c>
      <c r="M124" s="51">
        <v>0</v>
      </c>
      <c r="N124" s="25"/>
      <c r="O124" s="25">
        <f aca="true" t="shared" si="60" ref="O124:O131">ROUND((J124+K124+L124+M124)/12,2)</f>
        <v>0</v>
      </c>
      <c r="P124" s="25">
        <f aca="true" t="shared" si="61" ref="P124:P131">N124/12</f>
        <v>0</v>
      </c>
      <c r="Q124" s="51">
        <v>5000</v>
      </c>
      <c r="R124" s="25"/>
      <c r="S124" s="51">
        <v>0</v>
      </c>
      <c r="T124" s="51"/>
      <c r="U124" s="25"/>
      <c r="V124" s="25"/>
      <c r="W124" s="25"/>
      <c r="X124" s="73">
        <f aca="true" t="shared" si="62" ref="X124:X130">J124+K124+L124+N124+O124+P124+Q124+M124+R124+S124+T124+U124+V124+W124</f>
        <v>5000</v>
      </c>
      <c r="Y124" s="71">
        <v>0</v>
      </c>
      <c r="Z124" s="71">
        <v>0</v>
      </c>
      <c r="AA124" s="25"/>
      <c r="AB124" s="72">
        <f aca="true" t="shared" si="63" ref="AB124:AC131">Y124*AA124/100</f>
        <v>0</v>
      </c>
    </row>
    <row r="125" spans="1:30" s="15" customFormat="1" ht="15" customHeight="1" outlineLevel="2">
      <c r="A125" s="48">
        <v>2</v>
      </c>
      <c r="B125" s="48" t="s">
        <v>450</v>
      </c>
      <c r="C125" s="99">
        <v>718</v>
      </c>
      <c r="D125" s="43">
        <f>VLOOKUP($C125,CAPITOLI!$A:$E,3)</f>
        <v>0</v>
      </c>
      <c r="E125" s="44">
        <f>VLOOKUP($C125,CAPITOLI!$A:$E,4)</f>
        <v>0</v>
      </c>
      <c r="F125" s="45">
        <f>VLOOKUP($C125,CAPITOLI!$A:$E,5)</f>
        <v>0</v>
      </c>
      <c r="G125" s="49"/>
      <c r="H125" s="50"/>
      <c r="I125" s="46"/>
      <c r="J125" s="25"/>
      <c r="K125" s="51">
        <v>0</v>
      </c>
      <c r="L125" s="51">
        <v>0</v>
      </c>
      <c r="M125" s="51">
        <v>0</v>
      </c>
      <c r="N125" s="25"/>
      <c r="O125" s="25">
        <f t="shared" si="60"/>
        <v>0</v>
      </c>
      <c r="P125" s="25">
        <f t="shared" si="61"/>
        <v>0</v>
      </c>
      <c r="Q125" s="51">
        <v>0</v>
      </c>
      <c r="R125" s="25"/>
      <c r="S125" s="51">
        <v>0</v>
      </c>
      <c r="T125" s="51">
        <v>34291</v>
      </c>
      <c r="U125" s="25"/>
      <c r="V125" s="25"/>
      <c r="W125" s="25"/>
      <c r="X125" s="73">
        <f t="shared" si="62"/>
        <v>34291</v>
      </c>
      <c r="Y125" s="71">
        <f>X125-Q125</f>
        <v>34291</v>
      </c>
      <c r="Z125" s="71">
        <f>Y125-U125-V125-T125</f>
        <v>0</v>
      </c>
      <c r="AA125" s="25">
        <v>1.3</v>
      </c>
      <c r="AB125" s="100">
        <f t="shared" si="63"/>
        <v>445.783</v>
      </c>
      <c r="AC125" s="89"/>
      <c r="AD125" s="72"/>
    </row>
    <row r="126" spans="1:28" s="15" customFormat="1" ht="15" customHeight="1" outlineLevel="2">
      <c r="A126" s="48">
        <v>3</v>
      </c>
      <c r="B126" s="48" t="s">
        <v>451</v>
      </c>
      <c r="C126" s="49">
        <v>24</v>
      </c>
      <c r="D126" s="43">
        <f>VLOOKUP($C126,CAPITOLI!$A:$E,3)</f>
        <v>1</v>
      </c>
      <c r="E126" s="44">
        <f>VLOOKUP($C126,CAPITOLI!$A:$E,4)</f>
        <v>8</v>
      </c>
      <c r="F126" s="45">
        <f>VLOOKUP($C126,CAPITOLI!$A:$E,5)</f>
        <v>2</v>
      </c>
      <c r="G126" s="49"/>
      <c r="H126" s="50"/>
      <c r="I126" s="46"/>
      <c r="J126" s="25"/>
      <c r="K126" s="51">
        <v>0</v>
      </c>
      <c r="L126" s="51">
        <v>0</v>
      </c>
      <c r="M126" s="51">
        <v>0</v>
      </c>
      <c r="N126" s="25"/>
      <c r="O126" s="25">
        <f t="shared" si="60"/>
        <v>0</v>
      </c>
      <c r="P126" s="25">
        <f t="shared" si="61"/>
        <v>0</v>
      </c>
      <c r="Q126" s="51">
        <v>3000</v>
      </c>
      <c r="R126" s="25"/>
      <c r="S126" s="51">
        <v>0</v>
      </c>
      <c r="T126" s="51"/>
      <c r="U126" s="25"/>
      <c r="V126" s="25"/>
      <c r="W126" s="25"/>
      <c r="X126" s="73">
        <f t="shared" si="62"/>
        <v>3000</v>
      </c>
      <c r="Y126" s="71">
        <v>0</v>
      </c>
      <c r="Z126" s="71">
        <v>0</v>
      </c>
      <c r="AA126" s="25"/>
      <c r="AB126" s="72">
        <f t="shared" si="63"/>
        <v>0</v>
      </c>
    </row>
    <row r="127" spans="1:28" s="15" customFormat="1" ht="15" customHeight="1" outlineLevel="2">
      <c r="A127" s="48">
        <v>4</v>
      </c>
      <c r="B127" s="48" t="s">
        <v>478</v>
      </c>
      <c r="C127" s="49">
        <v>164</v>
      </c>
      <c r="D127" s="43">
        <f>VLOOKUP($C127,CAPITOLI!$A:$E,3)</f>
        <v>3</v>
      </c>
      <c r="E127" s="44">
        <f>VLOOKUP($C127,CAPITOLI!$A:$E,4)</f>
        <v>1</v>
      </c>
      <c r="F127" s="45">
        <f>VLOOKUP($C127,CAPITOLI!$A:$E,5)</f>
        <v>1</v>
      </c>
      <c r="G127" s="49"/>
      <c r="H127" s="50"/>
      <c r="I127" s="46"/>
      <c r="J127" s="25"/>
      <c r="K127" s="51">
        <v>0</v>
      </c>
      <c r="L127" s="51">
        <v>0</v>
      </c>
      <c r="M127" s="51">
        <v>0</v>
      </c>
      <c r="N127" s="25"/>
      <c r="O127" s="25">
        <f t="shared" si="60"/>
        <v>0</v>
      </c>
      <c r="P127" s="25">
        <f t="shared" si="61"/>
        <v>0</v>
      </c>
      <c r="Q127" s="51">
        <v>10000</v>
      </c>
      <c r="R127" s="25"/>
      <c r="S127" s="51">
        <v>0</v>
      </c>
      <c r="T127" s="51"/>
      <c r="U127" s="25"/>
      <c r="V127" s="25"/>
      <c r="W127" s="25"/>
      <c r="X127" s="73">
        <f t="shared" si="62"/>
        <v>10000</v>
      </c>
      <c r="Y127" s="71">
        <v>0</v>
      </c>
      <c r="Z127" s="71">
        <v>0</v>
      </c>
      <c r="AA127" s="25"/>
      <c r="AB127" s="72">
        <f t="shared" si="63"/>
        <v>0</v>
      </c>
    </row>
    <row r="128" spans="1:29" s="15" customFormat="1" ht="15" customHeight="1" outlineLevel="2">
      <c r="A128" s="48">
        <v>5</v>
      </c>
      <c r="B128" s="48" t="s">
        <v>479</v>
      </c>
      <c r="C128" s="49">
        <v>713</v>
      </c>
      <c r="D128" s="43">
        <f>VLOOKUP($C128,CAPITOLI!$A:$E,3)</f>
        <v>0</v>
      </c>
      <c r="E128" s="44">
        <f>VLOOKUP($C128,CAPITOLI!$A:$E,4)</f>
        <v>0</v>
      </c>
      <c r="F128" s="45">
        <f>VLOOKUP($C128,CAPITOLI!$A:$E,5)</f>
        <v>0</v>
      </c>
      <c r="G128" s="49"/>
      <c r="H128" s="50"/>
      <c r="I128" s="46"/>
      <c r="J128" s="25"/>
      <c r="K128" s="51">
        <v>0</v>
      </c>
      <c r="L128" s="51">
        <v>0</v>
      </c>
      <c r="M128" s="51">
        <v>0</v>
      </c>
      <c r="N128" s="25"/>
      <c r="O128" s="25">
        <f t="shared" si="60"/>
        <v>0</v>
      </c>
      <c r="P128" s="25">
        <f t="shared" si="61"/>
        <v>0</v>
      </c>
      <c r="Q128" s="51">
        <v>17000</v>
      </c>
      <c r="R128" s="25"/>
      <c r="S128" s="51">
        <v>0</v>
      </c>
      <c r="T128" s="51"/>
      <c r="U128" s="25"/>
      <c r="V128" s="25"/>
      <c r="W128" s="25"/>
      <c r="X128" s="73">
        <f t="shared" si="62"/>
        <v>17000</v>
      </c>
      <c r="Y128" s="71">
        <f>Q128</f>
        <v>17000</v>
      </c>
      <c r="Z128" s="71">
        <v>0</v>
      </c>
      <c r="AA128" s="71">
        <f>Z128-U128-V128-T128</f>
        <v>0</v>
      </c>
      <c r="AB128" s="25"/>
      <c r="AC128" s="72">
        <f t="shared" si="63"/>
        <v>0</v>
      </c>
    </row>
    <row r="129" spans="1:29" s="15" customFormat="1" ht="15" customHeight="1" outlineLevel="2">
      <c r="A129" s="48">
        <v>6</v>
      </c>
      <c r="B129" s="48" t="s">
        <v>480</v>
      </c>
      <c r="C129" s="49"/>
      <c r="D129" s="43" t="e">
        <f>VLOOKUP($C129,CAPITOLI!$A:$E,3)</f>
        <v>#N/A</v>
      </c>
      <c r="E129" s="44" t="e">
        <f>VLOOKUP($C129,CAPITOLI!$A:$E,4)</f>
        <v>#N/A</v>
      </c>
      <c r="F129" s="45" t="e">
        <f>VLOOKUP($C129,CAPITOLI!$A:$E,5)</f>
        <v>#N/A</v>
      </c>
      <c r="G129" s="49"/>
      <c r="H129" s="50"/>
      <c r="I129" s="46"/>
      <c r="J129" s="25"/>
      <c r="K129" s="51">
        <v>0</v>
      </c>
      <c r="L129" s="51">
        <v>0</v>
      </c>
      <c r="M129" s="51">
        <v>0</v>
      </c>
      <c r="N129" s="25"/>
      <c r="O129" s="25">
        <f t="shared" si="60"/>
        <v>0</v>
      </c>
      <c r="P129" s="25">
        <f t="shared" si="61"/>
        <v>0</v>
      </c>
      <c r="Q129" s="51">
        <v>0</v>
      </c>
      <c r="R129" s="25"/>
      <c r="S129" s="51">
        <v>0</v>
      </c>
      <c r="T129" s="51"/>
      <c r="U129" s="25"/>
      <c r="V129" s="25"/>
      <c r="W129" s="25"/>
      <c r="X129" s="73">
        <f t="shared" si="62"/>
        <v>0</v>
      </c>
      <c r="Y129" s="71">
        <f>Q129</f>
        <v>0</v>
      </c>
      <c r="Z129" s="71">
        <v>0</v>
      </c>
      <c r="AA129" s="71">
        <f>Z129-U129-V129-T129</f>
        <v>0</v>
      </c>
      <c r="AB129" s="25"/>
      <c r="AC129" s="72">
        <f t="shared" si="63"/>
        <v>0</v>
      </c>
    </row>
    <row r="130" spans="1:29" s="15" customFormat="1" ht="15" customHeight="1" outlineLevel="2">
      <c r="A130" s="48">
        <v>7</v>
      </c>
      <c r="B130" s="48" t="s">
        <v>481</v>
      </c>
      <c r="C130" s="49">
        <v>713</v>
      </c>
      <c r="D130" s="43">
        <f>VLOOKUP($C130,CAPITOLI!$A:$E,3)</f>
        <v>0</v>
      </c>
      <c r="E130" s="44">
        <f>VLOOKUP($C130,CAPITOLI!$A:$E,4)</f>
        <v>0</v>
      </c>
      <c r="F130" s="45">
        <f>VLOOKUP($C130,CAPITOLI!$A:$E,5)</f>
        <v>0</v>
      </c>
      <c r="G130" s="49"/>
      <c r="H130" s="50"/>
      <c r="I130" s="46"/>
      <c r="J130" s="25"/>
      <c r="K130" s="51">
        <v>0</v>
      </c>
      <c r="L130" s="51">
        <v>0</v>
      </c>
      <c r="M130" s="51">
        <v>0</v>
      </c>
      <c r="N130" s="25"/>
      <c r="O130" s="25">
        <f t="shared" si="60"/>
        <v>0</v>
      </c>
      <c r="P130" s="25">
        <f t="shared" si="61"/>
        <v>0</v>
      </c>
      <c r="Q130" s="51">
        <v>2000</v>
      </c>
      <c r="R130" s="25"/>
      <c r="S130" s="51">
        <v>0</v>
      </c>
      <c r="T130" s="51"/>
      <c r="U130" s="25"/>
      <c r="V130" s="25"/>
      <c r="W130" s="25"/>
      <c r="X130" s="73">
        <f t="shared" si="62"/>
        <v>2000</v>
      </c>
      <c r="Y130" s="71">
        <f>Q130</f>
        <v>2000</v>
      </c>
      <c r="Z130" s="71">
        <v>0</v>
      </c>
      <c r="AA130" s="71">
        <f>Z130-U130-V130-T130</f>
        <v>0</v>
      </c>
      <c r="AB130" s="25"/>
      <c r="AC130" s="72">
        <f t="shared" si="63"/>
        <v>0</v>
      </c>
    </row>
    <row r="131" spans="1:28" s="15" customFormat="1" ht="15" customHeight="1" outlineLevel="2">
      <c r="A131" s="48">
        <v>8</v>
      </c>
      <c r="B131" s="48" t="s">
        <v>483</v>
      </c>
      <c r="C131" s="49">
        <v>711</v>
      </c>
      <c r="D131" s="43">
        <f>VLOOKUP($C131,CAPITOLI!$A:$E,3)</f>
        <v>0</v>
      </c>
      <c r="E131" s="44">
        <f>VLOOKUP($C131,CAPITOLI!$A:$E,4)</f>
        <v>0</v>
      </c>
      <c r="F131" s="45">
        <f>VLOOKUP($C131,CAPITOLI!$A:$E,5)</f>
        <v>0</v>
      </c>
      <c r="G131" s="49"/>
      <c r="H131" s="50"/>
      <c r="I131" s="46"/>
      <c r="J131" s="25"/>
      <c r="K131" s="51">
        <v>0</v>
      </c>
      <c r="L131" s="51">
        <v>0</v>
      </c>
      <c r="M131" s="51">
        <v>0</v>
      </c>
      <c r="N131" s="25"/>
      <c r="O131" s="25">
        <f t="shared" si="60"/>
        <v>0</v>
      </c>
      <c r="P131" s="25">
        <f t="shared" si="61"/>
        <v>0</v>
      </c>
      <c r="Q131" s="51">
        <v>9450</v>
      </c>
      <c r="R131" s="25"/>
      <c r="S131" s="51">
        <v>0</v>
      </c>
      <c r="T131" s="51"/>
      <c r="U131" s="25"/>
      <c r="V131" s="25"/>
      <c r="W131" s="25"/>
      <c r="X131" s="73">
        <v>9450</v>
      </c>
      <c r="Y131" s="71">
        <v>0</v>
      </c>
      <c r="Z131" s="71"/>
      <c r="AA131" s="25"/>
      <c r="AB131" s="72">
        <f t="shared" si="63"/>
        <v>0</v>
      </c>
    </row>
    <row r="132" spans="1:28" s="84" customFormat="1" ht="15" customHeight="1" outlineLevel="1">
      <c r="A132" s="75"/>
      <c r="B132" s="75"/>
      <c r="C132" s="132" t="s">
        <v>445</v>
      </c>
      <c r="D132" s="133"/>
      <c r="E132" s="133"/>
      <c r="F132" s="133"/>
      <c r="G132" s="134"/>
      <c r="H132" s="79"/>
      <c r="I132" s="80"/>
      <c r="J132" s="81">
        <f aca="true" t="shared" si="64" ref="J132:AB132">SUBTOTAL(9,J124:J131)</f>
        <v>0</v>
      </c>
      <c r="K132" s="81">
        <f t="shared" si="64"/>
        <v>0</v>
      </c>
      <c r="L132" s="81">
        <f t="shared" si="64"/>
        <v>0</v>
      </c>
      <c r="M132" s="81">
        <f t="shared" si="64"/>
        <v>0</v>
      </c>
      <c r="N132" s="81">
        <f t="shared" si="64"/>
        <v>0</v>
      </c>
      <c r="O132" s="81">
        <f t="shared" si="64"/>
        <v>0</v>
      </c>
      <c r="P132" s="81">
        <f t="shared" si="64"/>
        <v>0</v>
      </c>
      <c r="Q132" s="81">
        <f t="shared" si="64"/>
        <v>46450</v>
      </c>
      <c r="R132" s="81">
        <f t="shared" si="64"/>
        <v>0</v>
      </c>
      <c r="S132" s="81">
        <f t="shared" si="64"/>
        <v>0</v>
      </c>
      <c r="T132" s="81">
        <f t="shared" si="64"/>
        <v>34291</v>
      </c>
      <c r="U132" s="81">
        <f t="shared" si="64"/>
        <v>0</v>
      </c>
      <c r="V132" s="81">
        <f t="shared" si="64"/>
        <v>0</v>
      </c>
      <c r="W132" s="81">
        <f t="shared" si="64"/>
        <v>0</v>
      </c>
      <c r="X132" s="81">
        <f t="shared" si="64"/>
        <v>80741</v>
      </c>
      <c r="Y132" s="81">
        <f t="shared" si="64"/>
        <v>53291</v>
      </c>
      <c r="Z132" s="81">
        <f t="shared" si="64"/>
        <v>0</v>
      </c>
      <c r="AA132" s="81">
        <f t="shared" si="64"/>
        <v>1.3</v>
      </c>
      <c r="AB132" s="81">
        <f t="shared" si="64"/>
        <v>445.783</v>
      </c>
    </row>
    <row r="134" spans="1:28" s="54" customFormat="1" ht="15" customHeight="1">
      <c r="A134" s="95"/>
      <c r="B134" s="128" t="s">
        <v>381</v>
      </c>
      <c r="C134" s="129"/>
      <c r="D134" s="129"/>
      <c r="E134" s="129"/>
      <c r="F134" s="129"/>
      <c r="G134" s="129"/>
      <c r="H134" s="129"/>
      <c r="I134" s="130"/>
      <c r="J134" s="96">
        <f>SUBTOTAL(9,J4:J132)</f>
        <v>1630796.0300000007</v>
      </c>
      <c r="K134" s="96">
        <f aca="true" t="shared" si="65" ref="K134:W134">SUBTOTAL(9,K4:K122)</f>
        <v>10164.8</v>
      </c>
      <c r="L134" s="96">
        <f t="shared" si="65"/>
        <v>28174.250000000004</v>
      </c>
      <c r="M134" s="96">
        <f t="shared" si="65"/>
        <v>85873.66</v>
      </c>
      <c r="N134" s="96">
        <f t="shared" si="65"/>
        <v>1308.12</v>
      </c>
      <c r="O134" s="96">
        <f t="shared" si="65"/>
        <v>146250.75999999995</v>
      </c>
      <c r="P134" s="96">
        <f t="shared" si="65"/>
        <v>109.01</v>
      </c>
      <c r="Q134" s="113">
        <f>SUBTOTAL(9,Q4:Q132)</f>
        <v>67290.52</v>
      </c>
      <c r="R134" s="96">
        <f t="shared" si="65"/>
        <v>4221.720000000001</v>
      </c>
      <c r="S134" s="96">
        <f t="shared" si="65"/>
        <v>11108.4</v>
      </c>
      <c r="T134" s="96">
        <f>SUBTOTAL(9,T4:T132)</f>
        <v>139915.44</v>
      </c>
      <c r="U134" s="96">
        <f t="shared" si="65"/>
        <v>4012.5600000000004</v>
      </c>
      <c r="V134" s="96">
        <f t="shared" si="65"/>
        <v>38232.479999999996</v>
      </c>
      <c r="W134" s="96">
        <f t="shared" si="65"/>
        <v>12202.54</v>
      </c>
      <c r="X134" s="96">
        <f>SUBTOTAL(9,X4:X132)</f>
        <v>2191942.29</v>
      </c>
      <c r="Y134" s="98">
        <f>SUBTOTAL(9,Y4:Y132)</f>
        <v>2143651.77</v>
      </c>
      <c r="Z134" s="98">
        <f>SUBTOTAL(9,Z4:Z132)</f>
        <v>1942491.2899999998</v>
      </c>
      <c r="AA134" s="98">
        <f>SUBTOTAL(9,AA4:AA132)</f>
        <v>136.1</v>
      </c>
      <c r="AB134" s="98">
        <f>SUBTOTAL(9,AB4:AB132)</f>
        <v>32066.11296000001</v>
      </c>
    </row>
    <row r="135" ht="11.25">
      <c r="T135" s="109"/>
    </row>
    <row r="136" ht="11.25">
      <c r="T136" s="109"/>
    </row>
    <row r="137" ht="11.25">
      <c r="T137" s="109"/>
    </row>
    <row r="138" ht="11.25">
      <c r="T138" s="109"/>
    </row>
    <row r="139" ht="11.25">
      <c r="T139" s="109"/>
    </row>
    <row r="140" ht="11.25">
      <c r="T140" s="109"/>
    </row>
    <row r="141" ht="11.25">
      <c r="T141" s="109"/>
    </row>
    <row r="142" ht="11.25">
      <c r="T142" s="109"/>
    </row>
  </sheetData>
  <sheetProtection/>
  <autoFilter ref="H1:H142"/>
  <mergeCells count="25">
    <mergeCell ref="M1:M2"/>
    <mergeCell ref="N1:N2"/>
    <mergeCell ref="O1:P1"/>
    <mergeCell ref="B134:I134"/>
    <mergeCell ref="B104:I104"/>
    <mergeCell ref="C121:G121"/>
    <mergeCell ref="C132:G132"/>
    <mergeCell ref="B1:B2"/>
    <mergeCell ref="V1:V2"/>
    <mergeCell ref="X1:X2"/>
    <mergeCell ref="R1:R2"/>
    <mergeCell ref="S1:S2"/>
    <mergeCell ref="T1:T2"/>
    <mergeCell ref="W1:W2"/>
    <mergeCell ref="U1:U2"/>
    <mergeCell ref="A1:A2"/>
    <mergeCell ref="J1:J2"/>
    <mergeCell ref="K1:K2"/>
    <mergeCell ref="L1:L2"/>
    <mergeCell ref="C1:C2"/>
    <mergeCell ref="G1:I1"/>
    <mergeCell ref="H2:I2"/>
    <mergeCell ref="D1:D2"/>
    <mergeCell ref="E1:E2"/>
    <mergeCell ref="F1:F2"/>
  </mergeCells>
  <printOptions/>
  <pageMargins left="0.1968503937007874" right="0" top="0.984251968503937" bottom="0.7874015748031497" header="0.5118110236220472" footer="0.5118110236220472"/>
  <pageSetup horizontalDpi="600" verticalDpi="600" orientation="landscape" paperSize="9" scale="70" r:id="rId1"/>
  <headerFooter alignWithMargins="0">
    <oddHeader>&amp;CPREVISIONE SPESE DI PERSONALE ANNO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42" sqref="G42"/>
    </sheetView>
  </sheetViews>
  <sheetFormatPr defaultColWidth="9.140625" defaultRowHeight="12.75"/>
  <cols>
    <col min="1" max="1" width="6.28125" style="7" customWidth="1"/>
    <col min="2" max="2" width="20.140625" style="2" customWidth="1"/>
    <col min="3" max="5" width="3.28125" style="2" customWidth="1"/>
    <col min="6" max="14" width="11.7109375" style="2" customWidth="1"/>
    <col min="15" max="16384" width="9.140625" style="2" customWidth="1"/>
  </cols>
  <sheetData>
    <row r="1" spans="1:14" s="56" customFormat="1" ht="23.25" customHeight="1">
      <c r="A1" s="139" t="s">
        <v>419</v>
      </c>
      <c r="B1" s="141" t="s">
        <v>418</v>
      </c>
      <c r="C1" s="135" t="s">
        <v>0</v>
      </c>
      <c r="D1" s="135" t="s">
        <v>1</v>
      </c>
      <c r="E1" s="135" t="s">
        <v>382</v>
      </c>
      <c r="F1" s="138" t="s">
        <v>415</v>
      </c>
      <c r="G1" s="138"/>
      <c r="H1" s="138"/>
      <c r="I1" s="138"/>
      <c r="J1" s="138" t="s">
        <v>416</v>
      </c>
      <c r="K1" s="138"/>
      <c r="L1" s="138"/>
      <c r="M1" s="138"/>
      <c r="N1" s="138"/>
    </row>
    <row r="2" spans="1:14" s="56" customFormat="1" ht="16.5" customHeight="1">
      <c r="A2" s="140"/>
      <c r="B2" s="141"/>
      <c r="C2" s="136"/>
      <c r="D2" s="136"/>
      <c r="E2" s="136"/>
      <c r="F2" s="57" t="s">
        <v>402</v>
      </c>
      <c r="G2" s="57" t="s">
        <v>403</v>
      </c>
      <c r="H2" s="57" t="s">
        <v>404</v>
      </c>
      <c r="I2" s="57" t="s">
        <v>405</v>
      </c>
      <c r="J2" s="57" t="s">
        <v>402</v>
      </c>
      <c r="K2" s="57" t="s">
        <v>403</v>
      </c>
      <c r="L2" s="57" t="s">
        <v>404</v>
      </c>
      <c r="M2" s="57" t="s">
        <v>405</v>
      </c>
      <c r="N2" s="57" t="s">
        <v>417</v>
      </c>
    </row>
    <row r="3" spans="1:14" s="55" customFormat="1" ht="11.25">
      <c r="A3" s="58"/>
      <c r="B3" s="58"/>
      <c r="C3" s="137"/>
      <c r="D3" s="137"/>
      <c r="E3" s="137"/>
      <c r="F3" s="58" t="s">
        <v>406</v>
      </c>
      <c r="G3" s="58" t="s">
        <v>407</v>
      </c>
      <c r="H3" s="58" t="s">
        <v>408</v>
      </c>
      <c r="I3" s="58" t="s">
        <v>409</v>
      </c>
      <c r="J3" s="58" t="s">
        <v>410</v>
      </c>
      <c r="K3" s="58" t="s">
        <v>411</v>
      </c>
      <c r="L3" s="58" t="s">
        <v>412</v>
      </c>
      <c r="M3" s="58" t="s">
        <v>413</v>
      </c>
      <c r="N3" s="58" t="s">
        <v>414</v>
      </c>
    </row>
    <row r="4" spans="1:14" s="55" customFormat="1" ht="11.25">
      <c r="A4" s="65"/>
      <c r="B4" s="65"/>
      <c r="C4" s="66"/>
      <c r="D4" s="67"/>
      <c r="E4" s="68"/>
      <c r="F4" s="65"/>
      <c r="G4" s="65"/>
      <c r="H4" s="65"/>
      <c r="I4" s="65"/>
      <c r="J4" s="69">
        <v>0.238</v>
      </c>
      <c r="K4" s="69">
        <v>0.0288</v>
      </c>
      <c r="L4" s="70"/>
      <c r="M4" s="69">
        <v>0.085</v>
      </c>
      <c r="N4" s="65"/>
    </row>
    <row r="5" spans="1:14" ht="11.25">
      <c r="A5" s="10">
        <f>CAPITOLI!A2</f>
        <v>8</v>
      </c>
      <c r="B5" s="11" t="str">
        <f>CAPITOLI!B2</f>
        <v>SEGRETARIO GENERALE</v>
      </c>
      <c r="C5" s="59">
        <f>CAPITOLI!C2</f>
        <v>1</v>
      </c>
      <c r="D5" s="60">
        <f>CAPITOLI!D2</f>
        <v>2</v>
      </c>
      <c r="E5" s="61">
        <f>CAPITOLI!E2</f>
        <v>1</v>
      </c>
      <c r="F5" s="12">
        <f>SUMIF('SPESE PERSONALE'!C:C,"="&amp;A5,'SPESE PERSONALE'!Y:Y)</f>
        <v>31893.49</v>
      </c>
      <c r="G5" s="12">
        <f>SUMIF('SPESE PERSONALE'!C:C,"="&amp;A5,'SPESE PERSONALE'!Z:Z)</f>
        <v>31893.49</v>
      </c>
      <c r="H5" s="12">
        <f>F5</f>
        <v>31893.49</v>
      </c>
      <c r="I5" s="12">
        <f>F5</f>
        <v>31893.49</v>
      </c>
      <c r="J5" s="12">
        <f>F5*J$4</f>
        <v>7590.65062</v>
      </c>
      <c r="K5" s="12">
        <f>G5*K$4</f>
        <v>918.532512</v>
      </c>
      <c r="L5" s="12">
        <f>SUMIF('SPESE PERSONALE'!C:C,"="&amp;A5,'SPESE PERSONALE'!AB:AB)</f>
        <v>127.57396</v>
      </c>
      <c r="M5" s="12">
        <f>I5*M$4</f>
        <v>2710.9466500000003</v>
      </c>
      <c r="N5" s="12">
        <f>SUM(J5:M5)</f>
        <v>11347.703742</v>
      </c>
    </row>
    <row r="6" spans="1:14" ht="11.25">
      <c r="A6" s="10">
        <f>CAPITOLI!A3</f>
        <v>10</v>
      </c>
      <c r="B6" s="11" t="str">
        <f>CAPITOLI!B3</f>
        <v>SERVIZI GENERALI</v>
      </c>
      <c r="C6" s="59">
        <f>CAPITOLI!C3</f>
        <v>1</v>
      </c>
      <c r="D6" s="60">
        <f>CAPITOLI!D3</f>
        <v>2</v>
      </c>
      <c r="E6" s="61">
        <f>CAPITOLI!E3</f>
        <v>1</v>
      </c>
      <c r="F6" s="12">
        <f>SUMIF('SPESE PERSONALE'!C:C,"="&amp;A6,'SPESE PERSONALE'!Y:Y)</f>
        <v>198761.54</v>
      </c>
      <c r="G6" s="12">
        <f>SUMIF('SPESE PERSONALE'!C:C,"="&amp;A6,'SPESE PERSONALE'!Z:Z)</f>
        <v>194685.98000000004</v>
      </c>
      <c r="H6" s="12">
        <f aca="true" t="shared" si="0" ref="H6:H23">F6</f>
        <v>198761.54</v>
      </c>
      <c r="I6" s="12">
        <f aca="true" t="shared" si="1" ref="I6:I23">F6</f>
        <v>198761.54</v>
      </c>
      <c r="J6" s="12">
        <f aca="true" t="shared" si="2" ref="J6:J23">F6*J$4</f>
        <v>47305.24652</v>
      </c>
      <c r="K6" s="12">
        <f aca="true" t="shared" si="3" ref="K6:K23">G6*K$4</f>
        <v>5606.956224000001</v>
      </c>
      <c r="L6" s="12">
        <f>SUMIF('SPESE PERSONALE'!C:C,"="&amp;A6,'SPESE PERSONALE'!AB:AB)</f>
        <v>3422.0517200000004</v>
      </c>
      <c r="M6" s="12">
        <f aca="true" t="shared" si="4" ref="M6:M23">I6*M$4</f>
        <v>16894.730900000002</v>
      </c>
      <c r="N6" s="12">
        <f aca="true" t="shared" si="5" ref="N6:N23">SUM(J6:M6)</f>
        <v>73228.98536400001</v>
      </c>
    </row>
    <row r="7" spans="1:14" ht="11.25">
      <c r="A7" s="10">
        <f>CAPITOLI!A4</f>
        <v>12</v>
      </c>
      <c r="B7" s="11" t="str">
        <f>CAPITOLI!B4</f>
        <v>IND. DI DIREZIONE GENERALE</v>
      </c>
      <c r="C7" s="59">
        <f>CAPITOLI!C4</f>
        <v>1</v>
      </c>
      <c r="D7" s="60">
        <f>CAPITOLI!D4</f>
        <v>2</v>
      </c>
      <c r="E7" s="61">
        <f>CAPITOLI!E4</f>
        <v>1</v>
      </c>
      <c r="F7" s="12">
        <f>SUMIF('SPESE PERSONALE'!C:C,"="&amp;A7,'SPESE PERSONALE'!Y:Y)</f>
        <v>0</v>
      </c>
      <c r="G7" s="12">
        <f>SUMIF('SPESE PERSONALE'!C:C,"="&amp;A7,'SPESE PERSONALE'!Z:Z)</f>
        <v>0</v>
      </c>
      <c r="H7" s="12">
        <f t="shared" si="0"/>
        <v>0</v>
      </c>
      <c r="I7" s="12">
        <f t="shared" si="1"/>
        <v>0</v>
      </c>
      <c r="J7" s="12">
        <f t="shared" si="2"/>
        <v>0</v>
      </c>
      <c r="K7" s="12">
        <f t="shared" si="3"/>
        <v>0</v>
      </c>
      <c r="L7" s="12">
        <f>SUMIF('SPESE PERSONALE'!C:C,"="&amp;A7,'SPESE PERSONALE'!AB:AB)</f>
        <v>0</v>
      </c>
      <c r="M7" s="12">
        <f t="shared" si="4"/>
        <v>0</v>
      </c>
      <c r="N7" s="12">
        <f t="shared" si="5"/>
        <v>0</v>
      </c>
    </row>
    <row r="8" spans="1:14" ht="11.25">
      <c r="A8" s="10">
        <f>CAPITOLI!A5</f>
        <v>14</v>
      </c>
      <c r="B8" s="11" t="str">
        <f>CAPITOLI!B5</f>
        <v>PROTOCOLLO/USCIERI</v>
      </c>
      <c r="C8" s="59">
        <f>CAPITOLI!C5</f>
        <v>1</v>
      </c>
      <c r="D8" s="60">
        <f>CAPITOLI!D5</f>
        <v>8</v>
      </c>
      <c r="E8" s="61">
        <f>CAPITOLI!E5</f>
        <v>2</v>
      </c>
      <c r="F8" s="12">
        <f>SUMIF('SPESE PERSONALE'!C:C,"="&amp;A8,'SPESE PERSONALE'!Y:Y)</f>
        <v>67479.07</v>
      </c>
      <c r="G8" s="12">
        <f>SUMIF('SPESE PERSONALE'!C:C,"="&amp;A8,'SPESE PERSONALE'!Z:Z)</f>
        <v>65991.07</v>
      </c>
      <c r="H8" s="12">
        <f t="shared" si="0"/>
        <v>67479.07</v>
      </c>
      <c r="I8" s="12">
        <f t="shared" si="1"/>
        <v>67479.07</v>
      </c>
      <c r="J8" s="12">
        <f t="shared" si="2"/>
        <v>16060.018660000002</v>
      </c>
      <c r="K8" s="12">
        <f t="shared" si="3"/>
        <v>1900.5428160000001</v>
      </c>
      <c r="L8" s="12">
        <f>SUMIF('SPESE PERSONALE'!C:C,"="&amp;A8,'SPESE PERSONALE'!AB:AB)</f>
        <v>1323.8901700000001</v>
      </c>
      <c r="M8" s="12">
        <f t="shared" si="4"/>
        <v>5735.720950000001</v>
      </c>
      <c r="N8" s="12">
        <f t="shared" si="5"/>
        <v>25020.172596000004</v>
      </c>
    </row>
    <row r="9" spans="1:14" ht="11.25">
      <c r="A9" s="10">
        <f>CAPITOLI!A6</f>
        <v>55</v>
      </c>
      <c r="B9" s="11" t="str">
        <f>CAPITOLI!B6</f>
        <v>RAGIONERIA</v>
      </c>
      <c r="C9" s="59">
        <f>CAPITOLI!C6</f>
        <v>1</v>
      </c>
      <c r="D9" s="60">
        <f>CAPITOLI!D6</f>
        <v>3</v>
      </c>
      <c r="E9" s="61">
        <f>CAPITOLI!E6</f>
        <v>1</v>
      </c>
      <c r="F9" s="12">
        <f>SUMIF('SPESE PERSONALE'!C:C,"="&amp;A9,'SPESE PERSONALE'!Y:Y)</f>
        <v>142222.66999999998</v>
      </c>
      <c r="G9" s="12">
        <f>SUMIF('SPESE PERSONALE'!C:C,"="&amp;A9,'SPESE PERSONALE'!Z:Z)</f>
        <v>139332.95</v>
      </c>
      <c r="H9" s="12">
        <f t="shared" si="0"/>
        <v>142222.66999999998</v>
      </c>
      <c r="I9" s="12">
        <f t="shared" si="1"/>
        <v>142222.66999999998</v>
      </c>
      <c r="J9" s="12">
        <f t="shared" si="2"/>
        <v>33848.99545999999</v>
      </c>
      <c r="K9" s="12">
        <f t="shared" si="3"/>
        <v>4012.7889600000003</v>
      </c>
      <c r="L9" s="12">
        <f>SUMIF('SPESE PERSONALE'!C:C,"="&amp;A9,'SPESE PERSONALE'!AB:AB)</f>
        <v>1985.15813</v>
      </c>
      <c r="M9" s="12">
        <f t="shared" si="4"/>
        <v>12088.92695</v>
      </c>
      <c r="N9" s="12">
        <f t="shared" si="5"/>
        <v>51935.86949999999</v>
      </c>
    </row>
    <row r="10" spans="1:14" ht="11.25">
      <c r="A10" s="10">
        <f>CAPITOLI!A7</f>
        <v>60</v>
      </c>
      <c r="B10" s="11" t="str">
        <f>CAPITOLI!B7</f>
        <v>LAVORI PUBBLICI</v>
      </c>
      <c r="C10" s="59">
        <f>CAPITOLI!C7</f>
        <v>1</v>
      </c>
      <c r="D10" s="60">
        <f>CAPITOLI!D7</f>
        <v>6</v>
      </c>
      <c r="E10" s="61">
        <f>CAPITOLI!E7</f>
        <v>1</v>
      </c>
      <c r="F10" s="12">
        <f>SUMIF('SPESE PERSONALE'!C:C,"="&amp;A10,'SPESE PERSONALE'!Y:Y)</f>
        <v>142170.79</v>
      </c>
      <c r="G10" s="12">
        <f>SUMIF('SPESE PERSONALE'!C:C,"="&amp;A10,'SPESE PERSONALE'!Z:Z)</f>
        <v>139354.27</v>
      </c>
      <c r="H10" s="12">
        <f t="shared" si="0"/>
        <v>142170.79</v>
      </c>
      <c r="I10" s="12">
        <f t="shared" si="1"/>
        <v>142170.79</v>
      </c>
      <c r="J10" s="12">
        <f t="shared" si="2"/>
        <v>33836.64802</v>
      </c>
      <c r="K10" s="12">
        <f t="shared" si="3"/>
        <v>4013.4029759999994</v>
      </c>
      <c r="L10" s="12">
        <f>SUMIF('SPESE PERSONALE'!C:C,"="&amp;A10,'SPESE PERSONALE'!AB:AB)</f>
        <v>2037.9967300000003</v>
      </c>
      <c r="M10" s="12">
        <f t="shared" si="4"/>
        <v>12084.517150000001</v>
      </c>
      <c r="N10" s="12">
        <f t="shared" si="5"/>
        <v>51972.564876</v>
      </c>
    </row>
    <row r="11" spans="1:14" ht="11.25">
      <c r="A11" s="10">
        <f>CAPITOLI!A8</f>
        <v>70</v>
      </c>
      <c r="B11" s="11" t="str">
        <f>CAPITOLI!B8</f>
        <v>UFFICIO PERSONALE</v>
      </c>
      <c r="C11" s="59">
        <f>CAPITOLI!C8</f>
        <v>1</v>
      </c>
      <c r="D11" s="60">
        <f>CAPITOLI!D8</f>
        <v>2</v>
      </c>
      <c r="E11" s="61">
        <f>CAPITOLI!E8</f>
        <v>2</v>
      </c>
      <c r="F11" s="12">
        <f>SUMIF('SPESE PERSONALE'!C:C,"="&amp;A11,'SPESE PERSONALE'!Y:Y)</f>
        <v>45235.45</v>
      </c>
      <c r="G11" s="12">
        <f>SUMIF('SPESE PERSONALE'!C:C,"="&amp;A11,'SPESE PERSONALE'!Z:Z)</f>
        <v>44214.130000000005</v>
      </c>
      <c r="H11" s="12">
        <f t="shared" si="0"/>
        <v>45235.45</v>
      </c>
      <c r="I11" s="12">
        <f t="shared" si="1"/>
        <v>45235.45</v>
      </c>
      <c r="J11" s="12">
        <f t="shared" si="2"/>
        <v>10766.0371</v>
      </c>
      <c r="K11" s="12">
        <f t="shared" si="3"/>
        <v>1273.366944</v>
      </c>
      <c r="L11" s="12">
        <f>SUMIF('SPESE PERSONALE'!C:C,"="&amp;A11,'SPESE PERSONALE'!AB:AB)</f>
        <v>717.94483</v>
      </c>
      <c r="M11" s="12">
        <f t="shared" si="4"/>
        <v>3845.01325</v>
      </c>
      <c r="N11" s="12">
        <f t="shared" si="5"/>
        <v>16602.362124</v>
      </c>
    </row>
    <row r="12" spans="1:14" ht="11.25">
      <c r="A12" s="10">
        <f>CAPITOLI!A9</f>
        <v>80</v>
      </c>
      <c r="B12" s="11" t="str">
        <f>CAPITOLI!B9</f>
        <v>SERVIZIO ANAG.ST.CIV</v>
      </c>
      <c r="C12" s="59">
        <f>CAPITOLI!C9</f>
        <v>1</v>
      </c>
      <c r="D12" s="60">
        <f>CAPITOLI!D9</f>
        <v>7</v>
      </c>
      <c r="E12" s="61">
        <f>CAPITOLI!E9</f>
        <v>1</v>
      </c>
      <c r="F12" s="12">
        <f>SUMIF('SPESE PERSONALE'!C:C,"="&amp;A12,'SPESE PERSONALE'!Y:Y)</f>
        <v>166909.59</v>
      </c>
      <c r="G12" s="12">
        <f>SUMIF('SPESE PERSONALE'!C:C,"="&amp;A12,'SPESE PERSONALE'!Z:Z)</f>
        <v>163300.71</v>
      </c>
      <c r="H12" s="12">
        <f t="shared" si="0"/>
        <v>166909.59</v>
      </c>
      <c r="I12" s="12">
        <f t="shared" si="1"/>
        <v>166909.59</v>
      </c>
      <c r="J12" s="12">
        <f t="shared" si="2"/>
        <v>39724.48242</v>
      </c>
      <c r="K12" s="12">
        <f t="shared" si="3"/>
        <v>4703.060447999999</v>
      </c>
      <c r="L12" s="12">
        <f>SUMIF('SPESE PERSONALE'!C:C,"="&amp;A12,'SPESE PERSONALE'!AB:AB)</f>
        <v>2695.2587700000004</v>
      </c>
      <c r="M12" s="12">
        <f t="shared" si="4"/>
        <v>14187.31515</v>
      </c>
      <c r="N12" s="12">
        <f t="shared" si="5"/>
        <v>61310.116788</v>
      </c>
    </row>
    <row r="13" spans="1:14" ht="11.25">
      <c r="A13" s="10">
        <f>CAPITOLI!A10</f>
        <v>120</v>
      </c>
      <c r="B13" s="11" t="str">
        <f>CAPITOLI!B10</f>
        <v>SERVIZIO TRIBUTI</v>
      </c>
      <c r="C13" s="59">
        <f>CAPITOLI!C10</f>
        <v>1</v>
      </c>
      <c r="D13" s="60">
        <f>CAPITOLI!D10</f>
        <v>4</v>
      </c>
      <c r="E13" s="61">
        <f>CAPITOLI!E10</f>
        <v>1</v>
      </c>
      <c r="F13" s="12">
        <f>SUMIF('SPESE PERSONALE'!C:C,"="&amp;A13,'SPESE PERSONALE'!Y:Y)</f>
        <v>111916.39000000001</v>
      </c>
      <c r="G13" s="12">
        <f>SUMIF('SPESE PERSONALE'!C:C,"="&amp;A13,'SPESE PERSONALE'!Z:Z)</f>
        <v>109402.03</v>
      </c>
      <c r="H13" s="12">
        <f t="shared" si="0"/>
        <v>111916.39000000001</v>
      </c>
      <c r="I13" s="12">
        <f t="shared" si="1"/>
        <v>111916.39000000001</v>
      </c>
      <c r="J13" s="12">
        <f t="shared" si="2"/>
        <v>26636.100820000003</v>
      </c>
      <c r="K13" s="12">
        <f t="shared" si="3"/>
        <v>3150.778464</v>
      </c>
      <c r="L13" s="12">
        <f>SUMIF('SPESE PERSONALE'!C:C,"="&amp;A13,'SPESE PERSONALE'!AB:AB)</f>
        <v>1831.43725</v>
      </c>
      <c r="M13" s="12">
        <f t="shared" si="4"/>
        <v>9512.893150000002</v>
      </c>
      <c r="N13" s="12">
        <f t="shared" si="5"/>
        <v>41131.209684</v>
      </c>
    </row>
    <row r="14" spans="1:14" ht="11.25">
      <c r="A14" s="10">
        <f>CAPITOLI!A11</f>
        <v>160</v>
      </c>
      <c r="B14" s="11" t="str">
        <f>CAPITOLI!B11</f>
        <v>POLIZIA LOCALE</v>
      </c>
      <c r="C14" s="59">
        <f>CAPITOLI!C11</f>
        <v>3</v>
      </c>
      <c r="D14" s="60">
        <f>CAPITOLI!D11</f>
        <v>1</v>
      </c>
      <c r="E14" s="61">
        <f>CAPITOLI!E11</f>
        <v>1</v>
      </c>
      <c r="F14" s="12">
        <f>SUMIF('SPESE PERSONALE'!C:C,"="&amp;A14,'SPESE PERSONALE'!Y:Y)</f>
        <v>301786.2900000001</v>
      </c>
      <c r="G14" s="12">
        <f>SUMIF('SPESE PERSONALE'!C:C,"="&amp;A14,'SPESE PERSONALE'!Z:Z)</f>
        <v>295127.25</v>
      </c>
      <c r="H14" s="12">
        <f t="shared" si="0"/>
        <v>301786.2900000001</v>
      </c>
      <c r="I14" s="12">
        <f t="shared" si="1"/>
        <v>301786.2900000001</v>
      </c>
      <c r="J14" s="12">
        <f t="shared" si="2"/>
        <v>71825.13702000002</v>
      </c>
      <c r="K14" s="12">
        <f t="shared" si="3"/>
        <v>8499.6648</v>
      </c>
      <c r="L14" s="12">
        <f>SUMIF('SPESE PERSONALE'!C:C,"="&amp;A14,'SPESE PERSONALE'!AB:AB)</f>
        <v>4203.48051</v>
      </c>
      <c r="M14" s="12">
        <f t="shared" si="4"/>
        <v>25651.83465000001</v>
      </c>
      <c r="N14" s="12">
        <f t="shared" si="5"/>
        <v>110180.11698000002</v>
      </c>
    </row>
    <row r="15" spans="1:14" ht="11.25">
      <c r="A15" s="10">
        <f>CAPITOLI!A12</f>
        <v>250</v>
      </c>
      <c r="B15" s="11" t="str">
        <f>CAPITOLI!B12</f>
        <v>ASSISTENZA SCOLASTIC</v>
      </c>
      <c r="C15" s="59">
        <f>CAPITOLI!C12</f>
        <v>4</v>
      </c>
      <c r="D15" s="60">
        <f>CAPITOLI!D12</f>
        <v>5</v>
      </c>
      <c r="E15" s="61">
        <f>CAPITOLI!E12</f>
        <v>1</v>
      </c>
      <c r="F15" s="12">
        <f>SUMIF('SPESE PERSONALE'!C:C,"="&amp;A15,'SPESE PERSONALE'!Y:Y)</f>
        <v>21570.26</v>
      </c>
      <c r="G15" s="12">
        <f>SUMIF('SPESE PERSONALE'!C:C,"="&amp;A15,'SPESE PERSONALE'!Z:Z)</f>
        <v>21098.54</v>
      </c>
      <c r="H15" s="12">
        <f t="shared" si="0"/>
        <v>21570.26</v>
      </c>
      <c r="I15" s="12">
        <f t="shared" si="1"/>
        <v>21570.26</v>
      </c>
      <c r="J15" s="12">
        <f t="shared" si="2"/>
        <v>5133.721879999999</v>
      </c>
      <c r="K15" s="12">
        <f t="shared" si="3"/>
        <v>607.637952</v>
      </c>
      <c r="L15" s="12">
        <f>SUMIF('SPESE PERSONALE'!C:C,"="&amp;A15,'SPESE PERSONALE'!AB:AB)</f>
        <v>409.8349399999999</v>
      </c>
      <c r="M15" s="12">
        <f t="shared" si="4"/>
        <v>1833.4721</v>
      </c>
      <c r="N15" s="12">
        <f t="shared" si="5"/>
        <v>7984.666871999999</v>
      </c>
    </row>
    <row r="16" spans="1:14" ht="11.25">
      <c r="A16" s="10">
        <f>CAPITOLI!A13</f>
        <v>280</v>
      </c>
      <c r="B16" s="11" t="str">
        <f>CAPITOLI!B13</f>
        <v>BIBLIOTECHE</v>
      </c>
      <c r="C16" s="59">
        <f>CAPITOLI!C13</f>
        <v>5</v>
      </c>
      <c r="D16" s="60">
        <f>CAPITOLI!D13</f>
        <v>1</v>
      </c>
      <c r="E16" s="61">
        <f>CAPITOLI!E13</f>
        <v>1</v>
      </c>
      <c r="F16" s="12">
        <f>SUMIF('SPESE PERSONALE'!C:C,"="&amp;A16,'SPESE PERSONALE'!Y:Y)</f>
        <v>0</v>
      </c>
      <c r="G16" s="12">
        <f>SUMIF('SPESE PERSONALE'!C:C,"="&amp;A16,'SPESE PERSONALE'!Z:Z)</f>
        <v>0</v>
      </c>
      <c r="H16" s="12">
        <f t="shared" si="0"/>
        <v>0</v>
      </c>
      <c r="I16" s="12">
        <f t="shared" si="1"/>
        <v>0</v>
      </c>
      <c r="J16" s="12">
        <f t="shared" si="2"/>
        <v>0</v>
      </c>
      <c r="K16" s="12">
        <f t="shared" si="3"/>
        <v>0</v>
      </c>
      <c r="L16" s="12">
        <f>SUMIF('SPESE PERSONALE'!C:C,"="&amp;A16,'SPESE PERSONALE'!AB:AB)</f>
        <v>0</v>
      </c>
      <c r="M16" s="12">
        <f t="shared" si="4"/>
        <v>0</v>
      </c>
      <c r="N16" s="12">
        <f t="shared" si="5"/>
        <v>0</v>
      </c>
    </row>
    <row r="17" spans="1:14" ht="11.25">
      <c r="A17" s="10">
        <f>CAPITOLI!A14</f>
        <v>340</v>
      </c>
      <c r="B17" s="11" t="str">
        <f>CAPITOLI!B14</f>
        <v>URBANISTICA</v>
      </c>
      <c r="C17" s="59">
        <f>CAPITOLI!C14</f>
        <v>9</v>
      </c>
      <c r="D17" s="60">
        <f>CAPITOLI!D14</f>
        <v>1</v>
      </c>
      <c r="E17" s="61">
        <f>CAPITOLI!E14</f>
        <v>1</v>
      </c>
      <c r="F17" s="12">
        <f>SUMIF('SPESE PERSONALE'!C:C,"="&amp;A17,'SPESE PERSONALE'!Y:Y)</f>
        <v>247472.91000000003</v>
      </c>
      <c r="G17" s="12">
        <f>SUMIF('SPESE PERSONALE'!C:C,"="&amp;A17,'SPESE PERSONALE'!Z:Z)</f>
        <v>241576.83</v>
      </c>
      <c r="H17" s="12">
        <f t="shared" si="0"/>
        <v>247472.91000000003</v>
      </c>
      <c r="I17" s="12">
        <f t="shared" si="1"/>
        <v>247472.91000000003</v>
      </c>
      <c r="J17" s="12">
        <f t="shared" si="2"/>
        <v>58898.55258</v>
      </c>
      <c r="K17" s="12">
        <f t="shared" si="3"/>
        <v>6957.412703999999</v>
      </c>
      <c r="L17" s="12">
        <f>SUMIF('SPESE PERSONALE'!C:C,"="&amp;A17,'SPESE PERSONALE'!AB:AB)</f>
        <v>3608.1038700000004</v>
      </c>
      <c r="M17" s="12">
        <f t="shared" si="4"/>
        <v>21035.197350000006</v>
      </c>
      <c r="N17" s="12">
        <f t="shared" si="5"/>
        <v>90499.26650400001</v>
      </c>
    </row>
    <row r="18" spans="1:14" ht="11.25">
      <c r="A18" s="10">
        <f>CAPITOLI!A15</f>
        <v>470</v>
      </c>
      <c r="B18" s="11" t="str">
        <f>CAPITOLI!B15</f>
        <v>ASILO NIDO</v>
      </c>
      <c r="C18" s="59">
        <f>CAPITOLI!C15</f>
        <v>10</v>
      </c>
      <c r="D18" s="60">
        <f>CAPITOLI!D15</f>
        <v>1</v>
      </c>
      <c r="E18" s="61">
        <f>CAPITOLI!E15</f>
        <v>1</v>
      </c>
      <c r="F18" s="12">
        <f>SUMIF('SPESE PERSONALE'!C:C,"="&amp;A18,'SPESE PERSONALE'!Y:Y)</f>
        <v>188786.34</v>
      </c>
      <c r="G18" s="12">
        <f>SUMIF('SPESE PERSONALE'!C:C,"="&amp;A18,'SPESE PERSONALE'!Z:Z)</f>
        <v>182582.69999999998</v>
      </c>
      <c r="H18" s="12">
        <f t="shared" si="0"/>
        <v>188786.34</v>
      </c>
      <c r="I18" s="12">
        <f t="shared" si="1"/>
        <v>188786.34</v>
      </c>
      <c r="J18" s="12">
        <f t="shared" si="2"/>
        <v>44931.14892</v>
      </c>
      <c r="K18" s="12">
        <f t="shared" si="3"/>
        <v>5258.381759999999</v>
      </c>
      <c r="L18" s="12">
        <f>SUMIF('SPESE PERSONALE'!C:C,"="&amp;A18,'SPESE PERSONALE'!AB:AB)</f>
        <v>3056.4316799999997</v>
      </c>
      <c r="M18" s="12">
        <f t="shared" si="4"/>
        <v>16046.8389</v>
      </c>
      <c r="N18" s="12">
        <f t="shared" si="5"/>
        <v>69292.80126</v>
      </c>
    </row>
    <row r="19" spans="1:14" ht="11.25">
      <c r="A19" s="10">
        <f>CAPITOLI!A16</f>
        <v>488</v>
      </c>
      <c r="B19" s="11" t="str">
        <f>CAPITOLI!B16</f>
        <v>SERV.INFANZIA/MINORI</v>
      </c>
      <c r="C19" s="59">
        <f>CAPITOLI!C16</f>
        <v>10</v>
      </c>
      <c r="D19" s="60">
        <f>CAPITOLI!D16</f>
        <v>1</v>
      </c>
      <c r="E19" s="61">
        <f>CAPITOLI!E16</f>
        <v>2</v>
      </c>
      <c r="F19" s="12">
        <f>SUMIF('SPESE PERSONALE'!C:C,"="&amp;A19,'SPESE PERSONALE'!Y:Y)</f>
        <v>0</v>
      </c>
      <c r="G19" s="12">
        <f>SUMIF('SPESE PERSONALE'!C:C,"="&amp;A19,'SPESE PERSONALE'!Z:Z)</f>
        <v>0</v>
      </c>
      <c r="H19" s="12">
        <f t="shared" si="0"/>
        <v>0</v>
      </c>
      <c r="I19" s="12">
        <f t="shared" si="1"/>
        <v>0</v>
      </c>
      <c r="J19" s="12">
        <f t="shared" si="2"/>
        <v>0</v>
      </c>
      <c r="K19" s="12">
        <f t="shared" si="3"/>
        <v>0</v>
      </c>
      <c r="L19" s="12">
        <f>SUMIF('SPESE PERSONALE'!C:C,"="&amp;A19,'SPESE PERSONALE'!AB:AB)</f>
        <v>0</v>
      </c>
      <c r="M19" s="12">
        <f t="shared" si="4"/>
        <v>0</v>
      </c>
      <c r="N19" s="12">
        <f t="shared" si="5"/>
        <v>0</v>
      </c>
    </row>
    <row r="20" spans="1:14" ht="11.25">
      <c r="A20" s="10">
        <f>CAPITOLI!A17</f>
        <v>492</v>
      </c>
      <c r="B20" s="11" t="str">
        <f>CAPITOLI!B17</f>
        <v>PREVENZ./RIABILITAZ.</v>
      </c>
      <c r="C20" s="59">
        <f>CAPITOLI!C17</f>
        <v>10</v>
      </c>
      <c r="D20" s="60">
        <f>CAPITOLI!D17</f>
        <v>2</v>
      </c>
      <c r="E20" s="61">
        <f>CAPITOLI!E17</f>
        <v>1</v>
      </c>
      <c r="F20" s="12">
        <f>SUMIF('SPESE PERSONALE'!C:C,"="&amp;A20,'SPESE PERSONALE'!Y:Y)</f>
        <v>70764.36000000002</v>
      </c>
      <c r="G20" s="12">
        <f>SUMIF('SPESE PERSONALE'!C:C,"="&amp;A20,'SPESE PERSONALE'!Z:Z)</f>
        <v>69115.56</v>
      </c>
      <c r="H20" s="12">
        <f t="shared" si="0"/>
        <v>70764.36000000002</v>
      </c>
      <c r="I20" s="12">
        <f t="shared" si="1"/>
        <v>70764.36000000002</v>
      </c>
      <c r="J20" s="12">
        <f t="shared" si="2"/>
        <v>16841.917680000002</v>
      </c>
      <c r="K20" s="12">
        <f t="shared" si="3"/>
        <v>1990.528128</v>
      </c>
      <c r="L20" s="12">
        <f>SUMIF('SPESE PERSONALE'!C:C,"="&amp;A20,'SPESE PERSONALE'!AB:AB)</f>
        <v>919.9366800000001</v>
      </c>
      <c r="M20" s="12">
        <f t="shared" si="4"/>
        <v>6014.9706000000015</v>
      </c>
      <c r="N20" s="12">
        <f t="shared" si="5"/>
        <v>25767.353088000003</v>
      </c>
    </row>
    <row r="21" spans="1:14" ht="11.25">
      <c r="A21" s="10">
        <f>CAPITOLI!A18</f>
        <v>530</v>
      </c>
      <c r="B21" s="11" t="str">
        <f>CAPITOLI!B18</f>
        <v>ASSISTENZA E BENEF/</v>
      </c>
      <c r="C21" s="59">
        <f>CAPITOLI!C18</f>
        <v>10</v>
      </c>
      <c r="D21" s="60">
        <f>CAPITOLI!D18</f>
        <v>3</v>
      </c>
      <c r="E21" s="61">
        <f>CAPITOLI!E18</f>
        <v>1</v>
      </c>
      <c r="F21" s="12">
        <f>SUMIF('SPESE PERSONALE'!C:C,"="&amp;A21,'SPESE PERSONALE'!Y:Y)</f>
        <v>0</v>
      </c>
      <c r="G21" s="12">
        <f>SUMIF('SPESE PERSONALE'!C:C,"="&amp;A21,'SPESE PERSONALE'!Z:Z)</f>
        <v>0</v>
      </c>
      <c r="H21" s="12">
        <f t="shared" si="0"/>
        <v>0</v>
      </c>
      <c r="I21" s="12">
        <f t="shared" si="1"/>
        <v>0</v>
      </c>
      <c r="J21" s="12">
        <f t="shared" si="2"/>
        <v>0</v>
      </c>
      <c r="K21" s="12">
        <f t="shared" si="3"/>
        <v>0</v>
      </c>
      <c r="L21" s="12">
        <f>SUMIF('SPESE PERSONALE'!C:C,"="&amp;A21,'SPESE PERSONALE'!AB:AB)</f>
        <v>0</v>
      </c>
      <c r="M21" s="12">
        <f t="shared" si="4"/>
        <v>0</v>
      </c>
      <c r="N21" s="12">
        <f t="shared" si="5"/>
        <v>0</v>
      </c>
    </row>
    <row r="22" spans="1:14" ht="11.25">
      <c r="A22" s="10">
        <f>CAPITOLI!A19</f>
        <v>560</v>
      </c>
      <c r="B22" s="11" t="str">
        <f>CAPITOLI!B19</f>
        <v>SERVIZI ALLA PERSONA</v>
      </c>
      <c r="C22" s="59">
        <f>CAPITOLI!C19</f>
        <v>10</v>
      </c>
      <c r="D22" s="60">
        <f>CAPITOLI!D19</f>
        <v>4</v>
      </c>
      <c r="E22" s="61">
        <f>CAPITOLI!E19</f>
        <v>1</v>
      </c>
      <c r="F22" s="12">
        <f>SUMIF('SPESE PERSONALE'!C:C,"="&amp;A22,'SPESE PERSONALE'!Y:Y)</f>
        <v>123818.49000000002</v>
      </c>
      <c r="G22" s="12">
        <f>SUMIF('SPESE PERSONALE'!C:C,"="&amp;A22,'SPESE PERSONALE'!Z:Z)</f>
        <v>121079.85000000002</v>
      </c>
      <c r="H22" s="12">
        <f t="shared" si="0"/>
        <v>123818.49000000002</v>
      </c>
      <c r="I22" s="12">
        <f t="shared" si="1"/>
        <v>123818.49000000002</v>
      </c>
      <c r="J22" s="12">
        <f t="shared" si="2"/>
        <v>29468.80062</v>
      </c>
      <c r="K22" s="12">
        <f t="shared" si="3"/>
        <v>3487.0996800000007</v>
      </c>
      <c r="L22" s="12">
        <f>SUMIF('SPESE PERSONALE'!C:C,"="&amp;A22,'SPESE PERSONALE'!AB:AB)</f>
        <v>1864.7266500000003</v>
      </c>
      <c r="M22" s="12">
        <f t="shared" si="4"/>
        <v>10524.571650000002</v>
      </c>
      <c r="N22" s="12">
        <f t="shared" si="5"/>
        <v>45345.1986</v>
      </c>
    </row>
    <row r="23" spans="1:14" ht="11.25">
      <c r="A23" s="10">
        <f>CAPITOLI!A20</f>
        <v>610</v>
      </c>
      <c r="B23" s="11" t="str">
        <f>CAPITOLI!B20</f>
        <v>MERCATI PUBBLICI</v>
      </c>
      <c r="C23" s="59">
        <f>CAPITOLI!C20</f>
        <v>11</v>
      </c>
      <c r="D23" s="60">
        <f>CAPITOLI!D20</f>
        <v>2</v>
      </c>
      <c r="E23" s="61">
        <f>CAPITOLI!E20</f>
        <v>1</v>
      </c>
      <c r="F23" s="12">
        <f>SUMIF('SPESE PERSONALE'!C:C,"="&amp;A23,'SPESE PERSONALE'!Y:Y)</f>
        <v>19638.790000000005</v>
      </c>
      <c r="G23" s="12">
        <f>SUMIF('SPESE PERSONALE'!C:C,"="&amp;A23,'SPESE PERSONALE'!Z:Z)</f>
        <v>19249.99</v>
      </c>
      <c r="H23" s="12">
        <f t="shared" si="0"/>
        <v>19638.790000000005</v>
      </c>
      <c r="I23" s="12">
        <f t="shared" si="1"/>
        <v>19638.790000000005</v>
      </c>
      <c r="J23" s="12">
        <f t="shared" si="2"/>
        <v>4674.032020000001</v>
      </c>
      <c r="K23" s="12">
        <f t="shared" si="3"/>
        <v>554.399712</v>
      </c>
      <c r="L23" s="12">
        <f>SUMIF('SPESE PERSONALE'!C:C,"="&amp;A23,'SPESE PERSONALE'!AB:AB)</f>
        <v>687.3576500000001</v>
      </c>
      <c r="M23" s="12">
        <f t="shared" si="4"/>
        <v>1669.2971500000006</v>
      </c>
      <c r="N23" s="12">
        <f t="shared" si="5"/>
        <v>7585.086532000001</v>
      </c>
    </row>
    <row r="24" spans="1:14" ht="11.25">
      <c r="A24" s="10">
        <f>CAPITOLI!A21</f>
        <v>637</v>
      </c>
      <c r="B24" s="11" t="str">
        <f>CAPITOLI!B21</f>
        <v>ATTIVITA' PRODUTTIVE</v>
      </c>
      <c r="C24" s="59">
        <f>CAPITOLI!C21</f>
        <v>12</v>
      </c>
      <c r="D24" s="60">
        <f>CAPITOLI!D21</f>
        <v>6</v>
      </c>
      <c r="E24" s="61">
        <f>CAPITOLI!E21</f>
        <v>1</v>
      </c>
      <c r="F24" s="12">
        <f>SUMIF('SPESE PERSONALE'!C:C,"="&amp;A24,'SPESE PERSONALE'!Y:Y)</f>
        <v>60040.57</v>
      </c>
      <c r="G24" s="12">
        <f>SUMIF('SPESE PERSONALE'!C:C,"="&amp;A24,'SPESE PERSONALE'!Z:Z)</f>
        <v>58868.17</v>
      </c>
      <c r="H24" s="12">
        <f>F24</f>
        <v>60040.57</v>
      </c>
      <c r="I24" s="12">
        <f>F24</f>
        <v>60040.57</v>
      </c>
      <c r="J24" s="12">
        <f aca="true" t="shared" si="6" ref="J24:K26">F24*J$4</f>
        <v>14289.655659999999</v>
      </c>
      <c r="K24" s="12">
        <f t="shared" si="6"/>
        <v>1695.403296</v>
      </c>
      <c r="L24" s="12">
        <f>SUMIF('SPESE PERSONALE'!C:C,"="&amp;A24,'SPESE PERSONALE'!AB:AB)</f>
        <v>780.52741</v>
      </c>
      <c r="M24" s="12">
        <f>I24*M$4</f>
        <v>5103.448450000001</v>
      </c>
      <c r="N24" s="12">
        <f>SUM(J24:M24)</f>
        <v>21869.034816</v>
      </c>
    </row>
    <row r="25" spans="1:14" ht="11.25">
      <c r="A25" s="10">
        <f>CAPITOLI!A22</f>
        <v>711</v>
      </c>
      <c r="B25" s="11" t="str">
        <f>CAPITOLI!B22</f>
        <v>RETRIB.PERS.STRAORD.</v>
      </c>
      <c r="C25" s="59">
        <f>CAPITOLI!C22</f>
        <v>1</v>
      </c>
      <c r="D25" s="60">
        <f>CAPITOLI!D22</f>
        <v>8</v>
      </c>
      <c r="E25" s="61">
        <f>CAPITOLI!E22</f>
        <v>1</v>
      </c>
      <c r="F25" s="12">
        <f>SUMIF('SPESE PERSONALE'!C:C,"="&amp;A25,'SPESE PERSONALE'!Y:Y)</f>
        <v>46655.770000000004</v>
      </c>
      <c r="G25" s="12">
        <f>SUMIF('SPESE PERSONALE'!C:C,"="&amp;A25,'SPESE PERSONALE'!Z:Z)</f>
        <v>45617.770000000004</v>
      </c>
      <c r="H25" s="12">
        <f>F25</f>
        <v>46655.770000000004</v>
      </c>
      <c r="I25" s="12">
        <f>F25</f>
        <v>46655.770000000004</v>
      </c>
      <c r="J25" s="12">
        <f t="shared" si="6"/>
        <v>11104.073260000001</v>
      </c>
      <c r="K25" s="12">
        <f t="shared" si="6"/>
        <v>1313.791776</v>
      </c>
      <c r="L25" s="12">
        <f>SUMIF('SPESE PERSONALE'!C:C,"="&amp;A25,'SPESE PERSONALE'!AB:AB)</f>
        <v>606.5250100000001</v>
      </c>
      <c r="M25" s="12">
        <f>I25*M$4</f>
        <v>3965.7404500000007</v>
      </c>
      <c r="N25" s="12">
        <f>SUM(J25:M25)</f>
        <v>16990.130496</v>
      </c>
    </row>
    <row r="26" spans="1:14" ht="11.25">
      <c r="A26" s="10">
        <f>CAPITOLI!A23</f>
        <v>713</v>
      </c>
      <c r="B26" s="11" t="str">
        <f>CAPITOLI!B23</f>
        <v>SALARIO ACCESSORIO</v>
      </c>
      <c r="C26" s="59">
        <f>CAPITOLI!C23</f>
        <v>1</v>
      </c>
      <c r="D26" s="60">
        <f>CAPITOLI!D23</f>
        <v>8</v>
      </c>
      <c r="E26" s="61">
        <f>CAPITOLI!E23</f>
        <v>1</v>
      </c>
      <c r="F26" s="12">
        <f>SUMIF('SPESE PERSONALE'!C:C,"="&amp;A26,'SPESE PERSONALE'!Y:Y)</f>
        <v>102463</v>
      </c>
      <c r="G26" s="12">
        <f>SUMIF('SPESE PERSONALE'!C:C,"="&amp;A26,'SPESE PERSONALE'!Z:Z)</f>
        <v>0</v>
      </c>
      <c r="H26" s="12">
        <f>F26</f>
        <v>102463</v>
      </c>
      <c r="I26" s="12">
        <f>F26</f>
        <v>102463</v>
      </c>
      <c r="J26" s="12">
        <f t="shared" si="6"/>
        <v>24386.194</v>
      </c>
      <c r="K26" s="12">
        <f t="shared" si="6"/>
        <v>0</v>
      </c>
      <c r="L26" s="12">
        <f>SUMIF('SPESE PERSONALE'!C:C,"="&amp;A26,'SPESE PERSONALE'!AB:AB)</f>
        <v>1085.019</v>
      </c>
      <c r="M26" s="12">
        <f>I26*M$4</f>
        <v>8709.355000000001</v>
      </c>
      <c r="N26" s="12">
        <f>SUM(J26:M26)</f>
        <v>34180.568</v>
      </c>
    </row>
    <row r="27" spans="1:14" ht="11.25">
      <c r="A27" s="10">
        <f>CAPITOLI!A24</f>
        <v>706</v>
      </c>
      <c r="B27" s="11" t="str">
        <f>CAPITOLI!B24</f>
        <v>IND. DI  RISULTATO P.O.</v>
      </c>
      <c r="C27" s="59">
        <f>CAPITOLI!C24</f>
        <v>0</v>
      </c>
      <c r="D27" s="60">
        <f>CAPITOLI!D24</f>
        <v>0</v>
      </c>
      <c r="E27" s="61">
        <f>CAPITOLI!E24</f>
        <v>0</v>
      </c>
      <c r="F27" s="12">
        <f>SUMIF('SPESE PERSONALE'!C:C,"="&amp;A27,'SPESE PERSONALE'!Y:Y)</f>
        <v>19775</v>
      </c>
      <c r="G27" s="12">
        <f>SUMIF('SPESE PERSONALE'!C:C,"="&amp;A27,'SPESE PERSONALE'!Z:Z)</f>
        <v>0</v>
      </c>
      <c r="H27" s="12">
        <f>F27</f>
        <v>19775</v>
      </c>
      <c r="I27" s="12">
        <f>F27</f>
        <v>19775</v>
      </c>
      <c r="J27" s="12">
        <f>F27*J$4</f>
        <v>4706.45</v>
      </c>
      <c r="K27" s="12">
        <f>G27*K$4</f>
        <v>0</v>
      </c>
      <c r="L27" s="12">
        <f>SUMIF('SPESE PERSONALE'!C:C,"="&amp;A27,'SPESE PERSONALE'!AB:AB)</f>
        <v>257.075</v>
      </c>
      <c r="M27" s="12">
        <f>I27*M$4</f>
        <v>1680.8750000000002</v>
      </c>
      <c r="N27" s="12">
        <f>SUM(J27:M27)</f>
        <v>6644.4</v>
      </c>
    </row>
    <row r="28" spans="1:14" ht="11.25">
      <c r="A28" s="10">
        <f>CAPITOLI!A26</f>
        <v>718</v>
      </c>
      <c r="B28" s="11" t="str">
        <f>CAPITOLI!B26</f>
        <v>LAVORO STRAORDINARIO</v>
      </c>
      <c r="C28" s="59">
        <f>CAPITOLI!C25</f>
        <v>0</v>
      </c>
      <c r="D28" s="60">
        <f>CAPITOLI!D25</f>
        <v>0</v>
      </c>
      <c r="E28" s="61">
        <f>CAPITOLI!E25</f>
        <v>0</v>
      </c>
      <c r="F28" s="12">
        <f>SUMIF('SPESE PERSONALE'!C:C,"="&amp;A28,'SPESE PERSONALE'!Y:Y)</f>
        <v>34291</v>
      </c>
      <c r="G28" s="12">
        <f>SUMIF('SPESE PERSONALE'!C:C,"="&amp;A28,'SPESE PERSONALE'!Z:Z)</f>
        <v>0</v>
      </c>
      <c r="H28" s="12">
        <f>F28</f>
        <v>34291</v>
      </c>
      <c r="I28" s="12">
        <f>F28</f>
        <v>34291</v>
      </c>
      <c r="J28" s="12">
        <f>F28*J$4</f>
        <v>8161.258</v>
      </c>
      <c r="K28" s="12">
        <f>G28*K$4</f>
        <v>0</v>
      </c>
      <c r="L28" s="12">
        <f>SUMIF('SPESE PERSONALE'!C:C,"="&amp;A28,'SPESE PERSONALE'!AB:AB)</f>
        <v>445.783</v>
      </c>
      <c r="M28" s="12">
        <f>I28*M$4</f>
        <v>2914.735</v>
      </c>
      <c r="N28" s="12">
        <f>SUM(J28:M28)</f>
        <v>11521.776</v>
      </c>
    </row>
    <row r="29" spans="1:14" s="6" customFormat="1" ht="11.25">
      <c r="A29" s="63"/>
      <c r="B29" s="64" t="s">
        <v>417</v>
      </c>
      <c r="C29" s="64"/>
      <c r="D29" s="64"/>
      <c r="E29" s="64"/>
      <c r="F29" s="62">
        <f aca="true" t="shared" si="7" ref="F29:N29">SUM(F5:F28)</f>
        <v>2143651.7700000005</v>
      </c>
      <c r="G29" s="62">
        <f t="shared" si="7"/>
        <v>1942491.29</v>
      </c>
      <c r="H29" s="62">
        <f t="shared" si="7"/>
        <v>2143651.7700000005</v>
      </c>
      <c r="I29" s="62">
        <f t="shared" si="7"/>
        <v>2143651.7700000005</v>
      </c>
      <c r="J29" s="62">
        <f t="shared" si="7"/>
        <v>510189.12126</v>
      </c>
      <c r="K29" s="108">
        <f t="shared" si="7"/>
        <v>55943.74915199999</v>
      </c>
      <c r="L29" s="62">
        <f t="shared" si="7"/>
        <v>32066.112960000006</v>
      </c>
      <c r="M29" s="62">
        <f t="shared" si="7"/>
        <v>182210.40045000002</v>
      </c>
      <c r="N29" s="62">
        <f t="shared" si="7"/>
        <v>780409.383822</v>
      </c>
    </row>
    <row r="30" spans="1:5" ht="11.25">
      <c r="A30" s="4"/>
      <c r="B30" s="1"/>
      <c r="C30" s="1"/>
      <c r="D30" s="1"/>
      <c r="E30" s="1"/>
    </row>
    <row r="31" spans="1:6" ht="11.25">
      <c r="A31" s="4"/>
      <c r="B31" s="1"/>
      <c r="C31" s="1"/>
      <c r="D31" s="1"/>
      <c r="E31" s="1"/>
      <c r="F31" s="87"/>
    </row>
    <row r="32" ht="11.25">
      <c r="K32" s="87"/>
    </row>
    <row r="35" ht="11.25">
      <c r="L35" s="107"/>
    </row>
  </sheetData>
  <sheetProtection/>
  <mergeCells count="7">
    <mergeCell ref="E1:E3"/>
    <mergeCell ref="F1:I1"/>
    <mergeCell ref="J1:N1"/>
    <mergeCell ref="A1:A2"/>
    <mergeCell ref="B1:B2"/>
    <mergeCell ref="C1:C3"/>
    <mergeCell ref="D1:D3"/>
  </mergeCells>
  <printOptions/>
  <pageMargins left="0.3937007874015748" right="0.1968503937007874" top="0.984251968503937" bottom="0.787401574803149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5" sqref="A25"/>
    </sheetView>
  </sheetViews>
  <sheetFormatPr defaultColWidth="31.28125" defaultRowHeight="12.75"/>
  <cols>
    <col min="1" max="1" width="9.28125" style="5" customWidth="1"/>
    <col min="2" max="2" width="31.28125" style="2" customWidth="1"/>
    <col min="3" max="3" width="8.140625" style="2" bestFit="1" customWidth="1"/>
    <col min="4" max="4" width="7.7109375" style="2" bestFit="1" customWidth="1"/>
    <col min="5" max="5" width="7.57421875" style="2" bestFit="1" customWidth="1"/>
    <col min="6" max="16384" width="31.28125" style="2" customWidth="1"/>
  </cols>
  <sheetData>
    <row r="1" spans="1:5" ht="11.25">
      <c r="A1" s="21" t="s">
        <v>340</v>
      </c>
      <c r="B1" s="22" t="s">
        <v>341</v>
      </c>
      <c r="C1" s="23" t="s">
        <v>0</v>
      </c>
      <c r="D1" s="23" t="s">
        <v>1</v>
      </c>
      <c r="E1" s="23" t="s">
        <v>382</v>
      </c>
    </row>
    <row r="2" spans="1:5" ht="11.25">
      <c r="A2" s="16">
        <v>8</v>
      </c>
      <c r="B2" s="11" t="s">
        <v>338</v>
      </c>
      <c r="C2" s="14">
        <v>1</v>
      </c>
      <c r="D2" s="14">
        <v>2</v>
      </c>
      <c r="E2" s="14">
        <v>1</v>
      </c>
    </row>
    <row r="3" spans="1:5" ht="11.25">
      <c r="A3" s="16">
        <v>10</v>
      </c>
      <c r="B3" s="11" t="s">
        <v>304</v>
      </c>
      <c r="C3" s="14">
        <v>1</v>
      </c>
      <c r="D3" s="14">
        <v>2</v>
      </c>
      <c r="E3" s="14">
        <v>1</v>
      </c>
    </row>
    <row r="4" spans="1:5" ht="11.25">
      <c r="A4" s="17">
        <v>12</v>
      </c>
      <c r="B4" s="14" t="s">
        <v>440</v>
      </c>
      <c r="C4" s="14">
        <v>1</v>
      </c>
      <c r="D4" s="14">
        <v>2</v>
      </c>
      <c r="E4" s="14">
        <v>1</v>
      </c>
    </row>
    <row r="5" spans="1:5" ht="11.25">
      <c r="A5" s="16">
        <v>14</v>
      </c>
      <c r="B5" s="11" t="s">
        <v>318</v>
      </c>
      <c r="C5" s="14">
        <v>1</v>
      </c>
      <c r="D5" s="14">
        <v>8</v>
      </c>
      <c r="E5" s="14">
        <v>2</v>
      </c>
    </row>
    <row r="6" spans="1:5" ht="11.25">
      <c r="A6" s="16">
        <v>55</v>
      </c>
      <c r="B6" s="11" t="s">
        <v>319</v>
      </c>
      <c r="C6" s="14">
        <v>1</v>
      </c>
      <c r="D6" s="14">
        <v>3</v>
      </c>
      <c r="E6" s="14">
        <v>1</v>
      </c>
    </row>
    <row r="7" spans="1:5" ht="11.25">
      <c r="A7" s="16">
        <v>60</v>
      </c>
      <c r="B7" s="11" t="s">
        <v>310</v>
      </c>
      <c r="C7" s="14">
        <v>1</v>
      </c>
      <c r="D7" s="14">
        <v>6</v>
      </c>
      <c r="E7" s="14">
        <v>1</v>
      </c>
    </row>
    <row r="8" spans="1:5" ht="11.25">
      <c r="A8" s="16">
        <v>70</v>
      </c>
      <c r="B8" s="11" t="s">
        <v>326</v>
      </c>
      <c r="C8" s="14">
        <v>1</v>
      </c>
      <c r="D8" s="14">
        <v>2</v>
      </c>
      <c r="E8" s="14">
        <v>2</v>
      </c>
    </row>
    <row r="9" spans="1:5" ht="11.25">
      <c r="A9" s="16">
        <v>80</v>
      </c>
      <c r="B9" s="11" t="s">
        <v>311</v>
      </c>
      <c r="C9" s="14">
        <v>1</v>
      </c>
      <c r="D9" s="14">
        <v>7</v>
      </c>
      <c r="E9" s="14">
        <v>1</v>
      </c>
    </row>
    <row r="10" spans="1:5" ht="11.25">
      <c r="A10" s="16">
        <v>120</v>
      </c>
      <c r="B10" s="11" t="s">
        <v>305</v>
      </c>
      <c r="C10" s="14">
        <v>1</v>
      </c>
      <c r="D10" s="14">
        <v>4</v>
      </c>
      <c r="E10" s="14">
        <v>1</v>
      </c>
    </row>
    <row r="11" spans="1:5" ht="11.25">
      <c r="A11" s="16">
        <v>160</v>
      </c>
      <c r="B11" s="11" t="s">
        <v>306</v>
      </c>
      <c r="C11" s="14">
        <v>3</v>
      </c>
      <c r="D11" s="14">
        <v>1</v>
      </c>
      <c r="E11" s="14">
        <v>1</v>
      </c>
    </row>
    <row r="12" spans="1:5" ht="11.25">
      <c r="A12" s="16">
        <v>250</v>
      </c>
      <c r="B12" s="11" t="s">
        <v>313</v>
      </c>
      <c r="C12" s="14">
        <v>4</v>
      </c>
      <c r="D12" s="14">
        <v>5</v>
      </c>
      <c r="E12" s="14">
        <v>1</v>
      </c>
    </row>
    <row r="13" spans="1:5" ht="11.25">
      <c r="A13" s="16">
        <v>280</v>
      </c>
      <c r="B13" s="11" t="s">
        <v>307</v>
      </c>
      <c r="C13" s="14">
        <v>5</v>
      </c>
      <c r="D13" s="14">
        <v>1</v>
      </c>
      <c r="E13" s="14">
        <v>1</v>
      </c>
    </row>
    <row r="14" spans="1:5" ht="11.25">
      <c r="A14" s="16">
        <v>340</v>
      </c>
      <c r="B14" s="11" t="s">
        <v>337</v>
      </c>
      <c r="C14" s="14">
        <v>9</v>
      </c>
      <c r="D14" s="14">
        <v>1</v>
      </c>
      <c r="E14" s="14">
        <v>1</v>
      </c>
    </row>
    <row r="15" spans="1:5" ht="11.25">
      <c r="A15" s="16">
        <v>470</v>
      </c>
      <c r="B15" s="11" t="s">
        <v>314</v>
      </c>
      <c r="C15" s="14">
        <v>10</v>
      </c>
      <c r="D15" s="14">
        <v>1</v>
      </c>
      <c r="E15" s="14">
        <v>1</v>
      </c>
    </row>
    <row r="16" spans="1:5" ht="11.25">
      <c r="A16" s="16">
        <v>488</v>
      </c>
      <c r="B16" s="11" t="s">
        <v>317</v>
      </c>
      <c r="C16" s="14">
        <v>10</v>
      </c>
      <c r="D16" s="14">
        <v>1</v>
      </c>
      <c r="E16" s="14">
        <v>2</v>
      </c>
    </row>
    <row r="17" spans="1:5" ht="11.25">
      <c r="A17" s="16">
        <v>492</v>
      </c>
      <c r="B17" s="11" t="s">
        <v>320</v>
      </c>
      <c r="C17" s="14">
        <v>10</v>
      </c>
      <c r="D17" s="14">
        <v>2</v>
      </c>
      <c r="E17" s="14">
        <v>1</v>
      </c>
    </row>
    <row r="18" spans="1:5" ht="11.25">
      <c r="A18" s="16">
        <v>530</v>
      </c>
      <c r="B18" s="11" t="s">
        <v>315</v>
      </c>
      <c r="C18" s="14">
        <v>10</v>
      </c>
      <c r="D18" s="14">
        <v>3</v>
      </c>
      <c r="E18" s="14">
        <v>1</v>
      </c>
    </row>
    <row r="19" spans="1:5" ht="11.25">
      <c r="A19" s="16">
        <v>560</v>
      </c>
      <c r="B19" s="11" t="s">
        <v>321</v>
      </c>
      <c r="C19" s="14">
        <v>10</v>
      </c>
      <c r="D19" s="14">
        <v>4</v>
      </c>
      <c r="E19" s="14">
        <v>1</v>
      </c>
    </row>
    <row r="20" spans="1:5" ht="11.25">
      <c r="A20" s="16">
        <v>610</v>
      </c>
      <c r="B20" s="11" t="s">
        <v>308</v>
      </c>
      <c r="C20" s="14">
        <v>11</v>
      </c>
      <c r="D20" s="14">
        <v>2</v>
      </c>
      <c r="E20" s="14">
        <v>1</v>
      </c>
    </row>
    <row r="21" spans="1:5" ht="11.25">
      <c r="A21" s="16">
        <v>637</v>
      </c>
      <c r="B21" s="11" t="s">
        <v>312</v>
      </c>
      <c r="C21" s="14">
        <v>12</v>
      </c>
      <c r="D21" s="14">
        <v>6</v>
      </c>
      <c r="E21" s="14">
        <v>1</v>
      </c>
    </row>
    <row r="22" spans="1:5" ht="11.25">
      <c r="A22" s="17">
        <v>711</v>
      </c>
      <c r="B22" s="14" t="s">
        <v>441</v>
      </c>
      <c r="C22" s="14">
        <v>1</v>
      </c>
      <c r="D22" s="14">
        <v>8</v>
      </c>
      <c r="E22" s="14">
        <v>1</v>
      </c>
    </row>
    <row r="23" spans="1:5" ht="11.25">
      <c r="A23" s="17">
        <v>713</v>
      </c>
      <c r="B23" s="14" t="s">
        <v>444</v>
      </c>
      <c r="C23" s="14">
        <v>1</v>
      </c>
      <c r="D23" s="14">
        <v>8</v>
      </c>
      <c r="E23" s="14">
        <v>1</v>
      </c>
    </row>
    <row r="24" spans="1:5" ht="11.25">
      <c r="A24" s="17">
        <v>706</v>
      </c>
      <c r="B24" s="14" t="s">
        <v>446</v>
      </c>
      <c r="C24" s="14"/>
      <c r="D24" s="14"/>
      <c r="E24" s="14"/>
    </row>
    <row r="25" spans="1:5" ht="11.25">
      <c r="A25" s="17" t="s">
        <v>447</v>
      </c>
      <c r="B25" s="14" t="s">
        <v>448</v>
      </c>
      <c r="C25" s="14"/>
      <c r="D25" s="14"/>
      <c r="E25" s="14"/>
    </row>
    <row r="26" spans="1:5" ht="11.25">
      <c r="A26" s="17">
        <v>718</v>
      </c>
      <c r="B26" s="14" t="s">
        <v>450</v>
      </c>
      <c r="C26" s="14"/>
      <c r="D26" s="14"/>
      <c r="E26" s="14"/>
    </row>
    <row r="27" spans="1:5" ht="11.25">
      <c r="A27" s="17">
        <v>24</v>
      </c>
      <c r="B27" s="14" t="s">
        <v>451</v>
      </c>
      <c r="C27" s="14"/>
      <c r="D27" s="14"/>
      <c r="E27" s="14"/>
    </row>
    <row r="28" spans="1:5" ht="11.25">
      <c r="A28" s="17">
        <v>164</v>
      </c>
      <c r="B28" s="14" t="s">
        <v>452</v>
      </c>
      <c r="C28" s="14"/>
      <c r="D28" s="14"/>
      <c r="E28" s="14"/>
    </row>
    <row r="29" spans="1:5" ht="11.25">
      <c r="A29" s="17"/>
      <c r="B29" s="14"/>
      <c r="C29" s="14"/>
      <c r="D29" s="14"/>
      <c r="E29" s="14"/>
    </row>
    <row r="30" spans="1:5" ht="11.25">
      <c r="A30" s="17"/>
      <c r="B30" s="14"/>
      <c r="C30" s="14"/>
      <c r="D30" s="14"/>
      <c r="E30" s="14"/>
    </row>
    <row r="31" spans="1:5" ht="11.25">
      <c r="A31" s="17"/>
      <c r="B31" s="14"/>
      <c r="C31" s="14"/>
      <c r="D31" s="14"/>
      <c r="E31" s="14"/>
    </row>
    <row r="32" spans="1:5" ht="11.25">
      <c r="A32" s="17"/>
      <c r="B32" s="14"/>
      <c r="C32" s="14"/>
      <c r="D32" s="14"/>
      <c r="E32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10" sqref="L10"/>
    </sheetView>
  </sheetViews>
  <sheetFormatPr defaultColWidth="9.140625" defaultRowHeight="12.75"/>
  <cols>
    <col min="1" max="1" width="5.7109375" style="7" bestFit="1" customWidth="1"/>
    <col min="2" max="2" width="14.7109375" style="2" bestFit="1" customWidth="1"/>
    <col min="3" max="3" width="11.140625" style="8" bestFit="1" customWidth="1"/>
    <col min="4" max="4" width="9.140625" style="8" customWidth="1"/>
    <col min="5" max="5" width="8.57421875" style="8" customWidth="1"/>
    <col min="6" max="6" width="7.421875" style="8" customWidth="1"/>
    <col min="7" max="7" width="6.7109375" style="8" bestFit="1" customWidth="1"/>
    <col min="8" max="8" width="7.28125" style="8" customWidth="1"/>
    <col min="9" max="9" width="7.7109375" style="2" customWidth="1"/>
    <col min="10" max="10" width="9.140625" style="2" customWidth="1"/>
    <col min="11" max="11" width="9.140625" style="8" customWidth="1"/>
    <col min="12" max="16384" width="9.140625" style="2" customWidth="1"/>
  </cols>
  <sheetData>
    <row r="1" spans="1:11" s="9" customFormat="1" ht="37.5" customHeight="1">
      <c r="A1" s="18" t="s">
        <v>355</v>
      </c>
      <c r="B1" s="18" t="s">
        <v>341</v>
      </c>
      <c r="C1" s="19" t="s">
        <v>354</v>
      </c>
      <c r="D1" s="19" t="s">
        <v>356</v>
      </c>
      <c r="E1" s="19" t="s">
        <v>357</v>
      </c>
      <c r="F1" s="19" t="s">
        <v>358</v>
      </c>
      <c r="G1" s="19" t="s">
        <v>359</v>
      </c>
      <c r="H1" s="19" t="s">
        <v>360</v>
      </c>
      <c r="I1" s="20" t="s">
        <v>386</v>
      </c>
      <c r="J1" s="20" t="s">
        <v>387</v>
      </c>
      <c r="K1" s="19" t="s">
        <v>466</v>
      </c>
    </row>
    <row r="2" spans="1:13" ht="11.25">
      <c r="A2" s="10" t="s">
        <v>83</v>
      </c>
      <c r="B2" s="11" t="s">
        <v>346</v>
      </c>
      <c r="C2" s="12">
        <v>32261.49</v>
      </c>
      <c r="D2" s="12">
        <v>27888.51</v>
      </c>
      <c r="E2" s="12">
        <v>0</v>
      </c>
      <c r="F2" s="12">
        <f>ROUND(E2/12,2)</f>
        <v>0</v>
      </c>
      <c r="G2" s="12">
        <v>0.4</v>
      </c>
      <c r="H2" s="12">
        <v>0</v>
      </c>
      <c r="I2" s="12">
        <v>0</v>
      </c>
      <c r="J2" s="12">
        <v>0</v>
      </c>
      <c r="K2" s="12">
        <v>72.58</v>
      </c>
      <c r="M2" s="12">
        <v>18805.87</v>
      </c>
    </row>
    <row r="3" spans="1:11" ht="11.25">
      <c r="A3" s="10" t="s">
        <v>327</v>
      </c>
      <c r="B3" s="11" t="s">
        <v>347</v>
      </c>
      <c r="C3" s="12">
        <v>13202.81</v>
      </c>
      <c r="D3" s="12">
        <v>0</v>
      </c>
      <c r="E3" s="12">
        <v>0</v>
      </c>
      <c r="F3" s="12">
        <f>ROUND(E3/12,2)</f>
        <v>0</v>
      </c>
      <c r="G3" s="12">
        <v>1.3</v>
      </c>
      <c r="H3" s="12">
        <v>834.63</v>
      </c>
      <c r="I3" s="12">
        <v>52.08</v>
      </c>
      <c r="J3" s="12">
        <v>497.52</v>
      </c>
      <c r="K3" s="12">
        <v>0</v>
      </c>
    </row>
    <row r="4" spans="1:11" ht="11.25">
      <c r="A4" s="13" t="s">
        <v>471</v>
      </c>
      <c r="B4" s="14" t="s">
        <v>353</v>
      </c>
      <c r="C4" s="111">
        <v>14111.88</v>
      </c>
      <c r="D4" s="12"/>
      <c r="E4" s="12"/>
      <c r="F4" s="12"/>
      <c r="G4" s="12">
        <v>1.3</v>
      </c>
      <c r="H4" s="12"/>
      <c r="I4" s="12">
        <v>39.6</v>
      </c>
      <c r="J4" s="12">
        <v>375.6</v>
      </c>
      <c r="K4" s="12">
        <v>105.84</v>
      </c>
    </row>
    <row r="5" spans="1:11" ht="11.25">
      <c r="A5" s="13" t="s">
        <v>472</v>
      </c>
      <c r="B5" s="14" t="s">
        <v>353</v>
      </c>
      <c r="C5" s="111">
        <v>10583.4</v>
      </c>
      <c r="D5" s="12"/>
      <c r="E5" s="12"/>
      <c r="F5" s="12"/>
      <c r="G5" s="12">
        <v>1.3</v>
      </c>
      <c r="H5" s="12"/>
      <c r="I5" s="12">
        <v>29.7</v>
      </c>
      <c r="J5" s="12">
        <v>281.7</v>
      </c>
      <c r="K5" s="12">
        <v>79.44</v>
      </c>
    </row>
    <row r="6" spans="1:11" ht="11.25">
      <c r="A6" s="10" t="s">
        <v>336</v>
      </c>
      <c r="B6" s="11" t="s">
        <v>347</v>
      </c>
      <c r="C6" s="12">
        <v>4535.22</v>
      </c>
      <c r="D6" s="12">
        <v>0</v>
      </c>
      <c r="E6" s="12">
        <v>0</v>
      </c>
      <c r="F6" s="12">
        <f>ROUND(E6/12,2)</f>
        <v>0</v>
      </c>
      <c r="G6" s="12">
        <v>1.3</v>
      </c>
      <c r="H6" s="12">
        <v>0</v>
      </c>
      <c r="I6" s="12">
        <v>52.08</v>
      </c>
      <c r="J6" s="12">
        <v>497.52</v>
      </c>
      <c r="K6" s="12">
        <v>0</v>
      </c>
    </row>
    <row r="7" spans="1:13" ht="11.25">
      <c r="A7" s="10" t="s">
        <v>309</v>
      </c>
      <c r="B7" s="11" t="s">
        <v>348</v>
      </c>
      <c r="C7" s="12">
        <v>18229.92</v>
      </c>
      <c r="D7" s="12">
        <v>0</v>
      </c>
      <c r="E7" s="12">
        <v>55.32</v>
      </c>
      <c r="F7" s="12">
        <f>ROUND(E7/12,2)</f>
        <v>4.61</v>
      </c>
      <c r="G7" s="12">
        <v>1.9</v>
      </c>
      <c r="H7" s="12">
        <v>0</v>
      </c>
      <c r="I7" s="12">
        <v>44.76</v>
      </c>
      <c r="J7" s="12">
        <v>426.96</v>
      </c>
      <c r="K7" s="12">
        <v>136.68</v>
      </c>
      <c r="M7" s="14"/>
    </row>
    <row r="8" spans="1:11" ht="11.25">
      <c r="A8" s="10" t="s">
        <v>6</v>
      </c>
      <c r="B8" s="11" t="s">
        <v>349</v>
      </c>
      <c r="C8" s="12">
        <v>24338.14</v>
      </c>
      <c r="D8" s="12">
        <v>0</v>
      </c>
      <c r="E8" s="12">
        <v>0</v>
      </c>
      <c r="F8" s="12">
        <f>ROUND(E8/12,2)</f>
        <v>0</v>
      </c>
      <c r="G8" s="12">
        <v>1.3</v>
      </c>
      <c r="H8" s="12">
        <v>0</v>
      </c>
      <c r="I8" s="12">
        <v>59.4</v>
      </c>
      <c r="J8" s="12">
        <v>563.4</v>
      </c>
      <c r="K8" s="12">
        <v>182.52</v>
      </c>
    </row>
    <row r="9" spans="1:11" ht="11.25">
      <c r="A9" s="91" t="s">
        <v>457</v>
      </c>
      <c r="B9" s="92" t="s">
        <v>349</v>
      </c>
      <c r="C9" s="93">
        <v>24338.14</v>
      </c>
      <c r="D9" s="93">
        <f>D7*2/3</f>
        <v>0</v>
      </c>
      <c r="E9" s="93">
        <f>E7*2/3</f>
        <v>36.88</v>
      </c>
      <c r="F9" s="93">
        <f>F7*2/3</f>
        <v>3.0733333333333337</v>
      </c>
      <c r="G9" s="93">
        <v>1.3</v>
      </c>
      <c r="H9" s="93">
        <f>H7*2/3</f>
        <v>0</v>
      </c>
      <c r="I9" s="93">
        <f>I7*2/3</f>
        <v>29.84</v>
      </c>
      <c r="J9" s="93">
        <f>J7*2/3</f>
        <v>284.64</v>
      </c>
      <c r="K9" s="93"/>
    </row>
    <row r="10" spans="1:13" ht="11.25">
      <c r="A10" s="94" t="s">
        <v>439</v>
      </c>
      <c r="B10" s="92" t="s">
        <v>349</v>
      </c>
      <c r="C10" s="93">
        <f>C9/2</f>
        <v>12169.07</v>
      </c>
      <c r="D10" s="93">
        <f>D9/2</f>
        <v>0</v>
      </c>
      <c r="E10" s="93">
        <f>E9/2</f>
        <v>18.44</v>
      </c>
      <c r="F10" s="93">
        <f>F9/2</f>
        <v>1.5366666666666668</v>
      </c>
      <c r="G10" s="93">
        <v>1.3</v>
      </c>
      <c r="H10" s="93">
        <f>H9/2</f>
        <v>0</v>
      </c>
      <c r="I10" s="93">
        <f>I9/2</f>
        <v>14.92</v>
      </c>
      <c r="J10" s="93">
        <f>J9/2</f>
        <v>142.32</v>
      </c>
      <c r="K10" s="12">
        <v>182.52</v>
      </c>
      <c r="M10" s="112"/>
    </row>
    <row r="11" spans="1:13" ht="11.25">
      <c r="A11" s="10" t="s">
        <v>17</v>
      </c>
      <c r="B11" s="11" t="s">
        <v>348</v>
      </c>
      <c r="C11" s="12">
        <v>18496.61</v>
      </c>
      <c r="D11" s="12">
        <v>0</v>
      </c>
      <c r="E11" s="12">
        <v>0</v>
      </c>
      <c r="F11" s="12">
        <f aca="true" t="shared" si="0" ref="F11:F43">ROUND(E11/12,2)</f>
        <v>0</v>
      </c>
      <c r="G11" s="12">
        <v>1.9</v>
      </c>
      <c r="H11" s="12">
        <v>0</v>
      </c>
      <c r="I11" s="12">
        <v>44.76</v>
      </c>
      <c r="J11" s="12">
        <v>426.96</v>
      </c>
      <c r="K11" s="12"/>
      <c r="M11" s="2" t="s">
        <v>442</v>
      </c>
    </row>
    <row r="12" spans="1:11" ht="11.25">
      <c r="A12" s="10" t="s">
        <v>339</v>
      </c>
      <c r="B12" s="11" t="s">
        <v>347</v>
      </c>
      <c r="C12" s="12">
        <v>12320.07</v>
      </c>
      <c r="D12" s="12">
        <v>0</v>
      </c>
      <c r="E12" s="12">
        <v>0</v>
      </c>
      <c r="F12" s="12">
        <f t="shared" si="0"/>
        <v>0</v>
      </c>
      <c r="G12" s="12">
        <v>0.4</v>
      </c>
      <c r="H12" s="12">
        <v>0</v>
      </c>
      <c r="I12" s="12">
        <v>30.38</v>
      </c>
      <c r="J12" s="12">
        <v>290.22</v>
      </c>
      <c r="K12" s="12"/>
    </row>
    <row r="13" spans="1:11" ht="11.25">
      <c r="A13" s="10" t="s">
        <v>58</v>
      </c>
      <c r="B13" s="11" t="s">
        <v>349</v>
      </c>
      <c r="C13" s="12">
        <v>25377.76</v>
      </c>
      <c r="D13" s="12">
        <v>0</v>
      </c>
      <c r="E13" s="12">
        <v>178.8</v>
      </c>
      <c r="F13" s="12">
        <f t="shared" si="0"/>
        <v>14.9</v>
      </c>
      <c r="G13" s="12">
        <v>1.3</v>
      </c>
      <c r="H13" s="12">
        <v>0</v>
      </c>
      <c r="I13" s="12">
        <v>59.4</v>
      </c>
      <c r="J13" s="12">
        <v>563.4</v>
      </c>
      <c r="K13" s="12">
        <v>190.32</v>
      </c>
    </row>
    <row r="14" spans="1:11" ht="11.25">
      <c r="A14" s="10" t="s">
        <v>31</v>
      </c>
      <c r="B14" s="11" t="s">
        <v>348</v>
      </c>
      <c r="C14" s="12">
        <v>18808.79</v>
      </c>
      <c r="D14" s="12">
        <v>0</v>
      </c>
      <c r="E14" s="12">
        <v>55.32</v>
      </c>
      <c r="F14" s="12">
        <f t="shared" si="0"/>
        <v>4.61</v>
      </c>
      <c r="G14" s="12">
        <v>1.9</v>
      </c>
      <c r="H14" s="12">
        <v>0</v>
      </c>
      <c r="I14" s="12">
        <v>44.76</v>
      </c>
      <c r="J14" s="12">
        <v>426.96</v>
      </c>
      <c r="K14" s="12">
        <v>141.12</v>
      </c>
    </row>
    <row r="15" spans="1:11" ht="11.25">
      <c r="A15" s="10" t="s">
        <v>15</v>
      </c>
      <c r="B15" s="11" t="s">
        <v>349</v>
      </c>
      <c r="C15" s="12">
        <v>26510.86</v>
      </c>
      <c r="D15" s="12">
        <v>0</v>
      </c>
      <c r="E15" s="12">
        <v>178.8</v>
      </c>
      <c r="F15" s="12">
        <f t="shared" si="0"/>
        <v>14.9</v>
      </c>
      <c r="G15" s="12">
        <v>1.3</v>
      </c>
      <c r="H15" s="12">
        <v>0</v>
      </c>
      <c r="I15" s="12">
        <v>59.4</v>
      </c>
      <c r="J15" s="12">
        <v>563.4</v>
      </c>
      <c r="K15" s="12">
        <v>198.84</v>
      </c>
    </row>
    <row r="16" spans="1:11" ht="11.25">
      <c r="A16" s="10" t="s">
        <v>13</v>
      </c>
      <c r="B16" s="11" t="s">
        <v>348</v>
      </c>
      <c r="C16" s="12">
        <v>19143.58</v>
      </c>
      <c r="D16" s="12">
        <v>0</v>
      </c>
      <c r="E16" s="12">
        <v>55.32</v>
      </c>
      <c r="F16" s="12">
        <f t="shared" si="0"/>
        <v>4.61</v>
      </c>
      <c r="G16" s="12">
        <v>1.9</v>
      </c>
      <c r="H16" s="12">
        <v>0</v>
      </c>
      <c r="I16" s="12">
        <v>44.76</v>
      </c>
      <c r="J16" s="12">
        <v>426.96</v>
      </c>
      <c r="K16" s="12">
        <v>143.52</v>
      </c>
    </row>
    <row r="17" spans="1:11" ht="11.25">
      <c r="A17" s="10" t="s">
        <v>335</v>
      </c>
      <c r="B17" s="11" t="s">
        <v>349</v>
      </c>
      <c r="C17" s="12">
        <v>28342.72</v>
      </c>
      <c r="D17" s="12">
        <v>0</v>
      </c>
      <c r="E17" s="12">
        <v>178.8</v>
      </c>
      <c r="F17" s="12">
        <f t="shared" si="0"/>
        <v>14.9</v>
      </c>
      <c r="G17" s="12">
        <v>1.3</v>
      </c>
      <c r="H17" s="12">
        <v>0</v>
      </c>
      <c r="I17" s="12">
        <v>59.4</v>
      </c>
      <c r="J17" s="12">
        <v>563.4</v>
      </c>
      <c r="K17" s="12"/>
    </row>
    <row r="18" spans="1:11" ht="11.25">
      <c r="A18" s="10" t="s">
        <v>332</v>
      </c>
      <c r="B18" s="11" t="s">
        <v>348</v>
      </c>
      <c r="C18" s="12">
        <v>19878.4</v>
      </c>
      <c r="D18" s="12">
        <v>0</v>
      </c>
      <c r="E18" s="12">
        <v>55.32</v>
      </c>
      <c r="F18" s="12">
        <f t="shared" si="0"/>
        <v>4.61</v>
      </c>
      <c r="G18" s="12">
        <v>1.9</v>
      </c>
      <c r="H18" s="12">
        <v>0</v>
      </c>
      <c r="I18" s="12">
        <v>44.76</v>
      </c>
      <c r="J18" s="12">
        <v>426.96</v>
      </c>
      <c r="K18" s="12">
        <v>149.04</v>
      </c>
    </row>
    <row r="19" spans="1:11" ht="11.25">
      <c r="A19" s="10" t="s">
        <v>322</v>
      </c>
      <c r="B19" s="11" t="s">
        <v>350</v>
      </c>
      <c r="C19" s="12">
        <v>16314.57</v>
      </c>
      <c r="D19" s="12">
        <v>0</v>
      </c>
      <c r="E19" s="12">
        <v>0</v>
      </c>
      <c r="F19" s="12">
        <f t="shared" si="0"/>
        <v>0</v>
      </c>
      <c r="G19" s="12">
        <v>3.5</v>
      </c>
      <c r="H19" s="12">
        <v>64.56</v>
      </c>
      <c r="I19" s="12">
        <v>37.08</v>
      </c>
      <c r="J19" s="12">
        <v>351.72</v>
      </c>
      <c r="K19" s="12">
        <v>122.4</v>
      </c>
    </row>
    <row r="20" spans="1:11" ht="11.25">
      <c r="A20" s="10" t="s">
        <v>323</v>
      </c>
      <c r="B20" s="11" t="s">
        <v>350</v>
      </c>
      <c r="C20" s="12">
        <v>16533.95</v>
      </c>
      <c r="D20" s="12">
        <v>0</v>
      </c>
      <c r="E20" s="12">
        <v>0</v>
      </c>
      <c r="F20" s="12">
        <f t="shared" si="0"/>
        <v>0</v>
      </c>
      <c r="G20" s="12">
        <v>3.5</v>
      </c>
      <c r="H20" s="12">
        <v>64.56</v>
      </c>
      <c r="I20" s="12">
        <v>37.08</v>
      </c>
      <c r="J20" s="12">
        <v>351.72</v>
      </c>
      <c r="K20" s="12">
        <v>123.96</v>
      </c>
    </row>
    <row r="21" spans="1:11" ht="11.25">
      <c r="A21" s="10" t="s">
        <v>30</v>
      </c>
      <c r="B21" s="11" t="s">
        <v>350</v>
      </c>
      <c r="C21" s="12">
        <v>16884.36</v>
      </c>
      <c r="D21" s="12">
        <v>0</v>
      </c>
      <c r="E21" s="12">
        <v>0</v>
      </c>
      <c r="F21" s="12">
        <f t="shared" si="0"/>
        <v>0</v>
      </c>
      <c r="G21" s="12">
        <v>3.5</v>
      </c>
      <c r="H21" s="12">
        <v>64.56</v>
      </c>
      <c r="I21" s="12">
        <v>37.08</v>
      </c>
      <c r="J21" s="12">
        <v>351.72</v>
      </c>
      <c r="K21" s="12">
        <v>126.6</v>
      </c>
    </row>
    <row r="22" spans="1:11" ht="11.25">
      <c r="A22" s="10" t="s">
        <v>48</v>
      </c>
      <c r="B22" s="11" t="s">
        <v>350</v>
      </c>
      <c r="C22" s="12">
        <v>17184.06</v>
      </c>
      <c r="D22" s="12">
        <v>0</v>
      </c>
      <c r="E22" s="12">
        <v>0</v>
      </c>
      <c r="F22" s="12">
        <f t="shared" si="0"/>
        <v>0</v>
      </c>
      <c r="G22" s="12">
        <v>3.5</v>
      </c>
      <c r="H22" s="12">
        <v>64.56</v>
      </c>
      <c r="I22" s="12">
        <v>37.08</v>
      </c>
      <c r="J22" s="12">
        <v>351.72</v>
      </c>
      <c r="K22" s="12">
        <v>128.88</v>
      </c>
    </row>
    <row r="23" spans="1:11" ht="11.25">
      <c r="A23" s="10" t="s">
        <v>329</v>
      </c>
      <c r="B23" s="11" t="s">
        <v>350</v>
      </c>
      <c r="C23" s="12">
        <v>17539.65</v>
      </c>
      <c r="D23" s="12">
        <v>0</v>
      </c>
      <c r="E23" s="12">
        <v>0</v>
      </c>
      <c r="F23" s="12">
        <f t="shared" si="0"/>
        <v>0</v>
      </c>
      <c r="G23" s="12">
        <v>3.5</v>
      </c>
      <c r="H23" s="12">
        <v>64.56</v>
      </c>
      <c r="I23" s="12">
        <v>37.08</v>
      </c>
      <c r="J23" s="12">
        <v>351.72</v>
      </c>
      <c r="K23" s="12">
        <v>131.52</v>
      </c>
    </row>
    <row r="24" spans="1:11" ht="11.25">
      <c r="A24" s="10" t="s">
        <v>88</v>
      </c>
      <c r="B24" s="11" t="s">
        <v>351</v>
      </c>
      <c r="C24" s="12">
        <v>17244.71</v>
      </c>
      <c r="D24" s="12">
        <v>0</v>
      </c>
      <c r="E24" s="12">
        <v>0</v>
      </c>
      <c r="F24" s="12">
        <f t="shared" si="0"/>
        <v>0</v>
      </c>
      <c r="G24" s="12">
        <v>1.9</v>
      </c>
      <c r="H24" s="12">
        <v>64.56</v>
      </c>
      <c r="I24" s="12">
        <v>44.76</v>
      </c>
      <c r="J24" s="12">
        <v>426.96</v>
      </c>
      <c r="K24" s="12">
        <v>129.36</v>
      </c>
    </row>
    <row r="25" spans="1:11" ht="11.25">
      <c r="A25" s="10" t="s">
        <v>75</v>
      </c>
      <c r="B25" s="11" t="s">
        <v>351</v>
      </c>
      <c r="C25" s="12">
        <v>17531.61</v>
      </c>
      <c r="D25" s="12">
        <v>0</v>
      </c>
      <c r="E25" s="12">
        <v>0</v>
      </c>
      <c r="F25" s="12">
        <f t="shared" si="0"/>
        <v>0</v>
      </c>
      <c r="G25" s="12">
        <v>1.9</v>
      </c>
      <c r="H25" s="12">
        <v>64.56</v>
      </c>
      <c r="I25" s="12">
        <v>44.76</v>
      </c>
      <c r="J25" s="12">
        <v>426.96</v>
      </c>
      <c r="K25" s="12">
        <v>131.52</v>
      </c>
    </row>
    <row r="26" spans="1:11" ht="11.25">
      <c r="A26" s="10" t="s">
        <v>20</v>
      </c>
      <c r="B26" s="11" t="s">
        <v>351</v>
      </c>
      <c r="C26" s="12">
        <v>18229.92</v>
      </c>
      <c r="D26" s="12">
        <v>0</v>
      </c>
      <c r="E26" s="12">
        <v>0</v>
      </c>
      <c r="F26" s="12">
        <f t="shared" si="0"/>
        <v>0</v>
      </c>
      <c r="G26" s="12">
        <v>1.9</v>
      </c>
      <c r="H26" s="12">
        <v>64.56</v>
      </c>
      <c r="I26" s="12">
        <v>44.76</v>
      </c>
      <c r="J26" s="12">
        <v>426.96</v>
      </c>
      <c r="K26" s="12">
        <v>136.68</v>
      </c>
    </row>
    <row r="27" spans="1:11" ht="11.25">
      <c r="A27" s="10" t="s">
        <v>8</v>
      </c>
      <c r="B27" s="11" t="s">
        <v>351</v>
      </c>
      <c r="C27" s="12">
        <v>18496.61</v>
      </c>
      <c r="D27" s="12">
        <v>0</v>
      </c>
      <c r="E27" s="12">
        <v>0</v>
      </c>
      <c r="F27" s="12">
        <f t="shared" si="0"/>
        <v>0</v>
      </c>
      <c r="G27" s="12">
        <v>1.9</v>
      </c>
      <c r="H27" s="12">
        <v>64.56</v>
      </c>
      <c r="I27" s="12">
        <v>44.76</v>
      </c>
      <c r="J27" s="12">
        <v>426.96</v>
      </c>
      <c r="K27" s="12">
        <v>138.72</v>
      </c>
    </row>
    <row r="28" spans="1:11" ht="11.25">
      <c r="A28" s="10" t="s">
        <v>316</v>
      </c>
      <c r="B28" s="11" t="s">
        <v>351</v>
      </c>
      <c r="C28" s="12">
        <v>18808.79</v>
      </c>
      <c r="D28" s="12">
        <v>0</v>
      </c>
      <c r="E28" s="12">
        <v>0</v>
      </c>
      <c r="F28" s="12">
        <f t="shared" si="0"/>
        <v>0</v>
      </c>
      <c r="G28" s="12">
        <v>1.9</v>
      </c>
      <c r="H28" s="12">
        <v>64.56</v>
      </c>
      <c r="I28" s="12">
        <v>44.76</v>
      </c>
      <c r="J28" s="12">
        <v>426.96</v>
      </c>
      <c r="K28" s="12">
        <v>141.12</v>
      </c>
    </row>
    <row r="29" spans="1:11" ht="11.25">
      <c r="A29" s="10" t="s">
        <v>330</v>
      </c>
      <c r="B29" s="11" t="s">
        <v>351</v>
      </c>
      <c r="C29" s="12">
        <v>19143.58</v>
      </c>
      <c r="D29" s="12">
        <v>0</v>
      </c>
      <c r="E29" s="12">
        <v>0</v>
      </c>
      <c r="F29" s="12">
        <f t="shared" si="0"/>
        <v>0</v>
      </c>
      <c r="G29" s="12">
        <v>1.9</v>
      </c>
      <c r="H29" s="12">
        <v>64.56</v>
      </c>
      <c r="I29" s="12">
        <v>44.76</v>
      </c>
      <c r="J29" s="12">
        <v>426.96</v>
      </c>
      <c r="K29" s="12">
        <v>143.52</v>
      </c>
    </row>
    <row r="30" spans="1:11" ht="11.25">
      <c r="A30" s="10" t="s">
        <v>331</v>
      </c>
      <c r="B30" s="11" t="s">
        <v>351</v>
      </c>
      <c r="C30" s="12">
        <v>19878.4</v>
      </c>
      <c r="D30" s="12">
        <v>0</v>
      </c>
      <c r="E30" s="12">
        <v>0</v>
      </c>
      <c r="F30" s="12">
        <f t="shared" si="0"/>
        <v>0</v>
      </c>
      <c r="G30" s="12">
        <v>1.9</v>
      </c>
      <c r="H30" s="12">
        <v>64.56</v>
      </c>
      <c r="I30" s="12">
        <v>44.76</v>
      </c>
      <c r="J30" s="12">
        <v>426.96</v>
      </c>
      <c r="K30" s="12">
        <v>149.04</v>
      </c>
    </row>
    <row r="31" spans="1:11" ht="11.25">
      <c r="A31" s="10" t="s">
        <v>27</v>
      </c>
      <c r="B31" s="11" t="s">
        <v>352</v>
      </c>
      <c r="C31" s="12">
        <v>19454.15</v>
      </c>
      <c r="D31" s="12">
        <v>0</v>
      </c>
      <c r="E31" s="12">
        <v>0</v>
      </c>
      <c r="F31" s="12">
        <f t="shared" si="0"/>
        <v>0</v>
      </c>
      <c r="G31" s="12">
        <v>1.3</v>
      </c>
      <c r="H31" s="12">
        <v>0</v>
      </c>
      <c r="I31" s="12">
        <v>52.08</v>
      </c>
      <c r="J31" s="12">
        <v>497.52</v>
      </c>
      <c r="K31" s="12">
        <v>145.92</v>
      </c>
    </row>
    <row r="32" spans="1:11" ht="11.25">
      <c r="A32" s="10" t="s">
        <v>324</v>
      </c>
      <c r="B32" s="11" t="s">
        <v>352</v>
      </c>
      <c r="C32" s="12">
        <v>19917.86</v>
      </c>
      <c r="D32" s="12">
        <v>0</v>
      </c>
      <c r="E32" s="12">
        <v>0</v>
      </c>
      <c r="F32" s="12">
        <f t="shared" si="0"/>
        <v>0</v>
      </c>
      <c r="G32" s="12">
        <v>1.3</v>
      </c>
      <c r="H32" s="12">
        <v>0</v>
      </c>
      <c r="I32" s="12">
        <v>52.08</v>
      </c>
      <c r="J32" s="12">
        <v>497.52</v>
      </c>
      <c r="K32" s="12">
        <v>149.4</v>
      </c>
    </row>
    <row r="33" spans="1:11" ht="11.25">
      <c r="A33" s="10" t="s">
        <v>23</v>
      </c>
      <c r="B33" s="11" t="s">
        <v>352</v>
      </c>
      <c r="C33" s="12">
        <v>20472.62</v>
      </c>
      <c r="D33" s="12">
        <v>0</v>
      </c>
      <c r="E33" s="12">
        <v>0</v>
      </c>
      <c r="F33" s="12">
        <f t="shared" si="0"/>
        <v>0</v>
      </c>
      <c r="G33" s="12">
        <v>1.3</v>
      </c>
      <c r="H33" s="12">
        <v>0</v>
      </c>
      <c r="I33" s="12">
        <v>52.08</v>
      </c>
      <c r="J33" s="12">
        <v>497.52</v>
      </c>
      <c r="K33" s="12">
        <v>153.6</v>
      </c>
    </row>
    <row r="34" spans="1:11" ht="11.25">
      <c r="A34" s="10" t="s">
        <v>28</v>
      </c>
      <c r="B34" s="11" t="s">
        <v>352</v>
      </c>
      <c r="C34" s="12">
        <v>21120.11</v>
      </c>
      <c r="D34" s="12">
        <v>0</v>
      </c>
      <c r="E34" s="12">
        <v>0</v>
      </c>
      <c r="F34" s="12">
        <f t="shared" si="0"/>
        <v>0</v>
      </c>
      <c r="G34" s="12">
        <v>1.3</v>
      </c>
      <c r="H34" s="12">
        <v>0</v>
      </c>
      <c r="I34" s="12">
        <v>52.08</v>
      </c>
      <c r="J34" s="12">
        <v>497.52</v>
      </c>
      <c r="K34" s="12">
        <v>158.4</v>
      </c>
    </row>
    <row r="35" spans="1:11" ht="11.25">
      <c r="A35" s="10" t="s">
        <v>475</v>
      </c>
      <c r="B35" s="11" t="s">
        <v>476</v>
      </c>
      <c r="C35" s="12">
        <f>21120.11/12</f>
        <v>1760.0091666666667</v>
      </c>
      <c r="D35" s="12">
        <v>0</v>
      </c>
      <c r="E35" s="12">
        <v>0</v>
      </c>
      <c r="F35" s="12">
        <f t="shared" si="0"/>
        <v>0</v>
      </c>
      <c r="G35" s="12">
        <v>1.3</v>
      </c>
      <c r="H35" s="12">
        <v>0</v>
      </c>
      <c r="I35" s="12">
        <f>52.08/12</f>
        <v>4.34</v>
      </c>
      <c r="J35" s="12">
        <f>497.52/12</f>
        <v>41.46</v>
      </c>
      <c r="K35" s="12">
        <f>158.4/12</f>
        <v>13.200000000000001</v>
      </c>
    </row>
    <row r="36" spans="1:11" ht="11.25">
      <c r="A36" s="10" t="s">
        <v>474</v>
      </c>
      <c r="B36" s="11" t="s">
        <v>473</v>
      </c>
      <c r="C36" s="12">
        <f>21120.11/12*4</f>
        <v>7040.036666666667</v>
      </c>
      <c r="D36" s="12">
        <v>0</v>
      </c>
      <c r="E36" s="12">
        <v>0</v>
      </c>
      <c r="F36" s="12">
        <f t="shared" si="0"/>
        <v>0</v>
      </c>
      <c r="G36" s="12">
        <v>1.3</v>
      </c>
      <c r="H36" s="12">
        <v>0</v>
      </c>
      <c r="I36" s="12">
        <f>52.08/12*4</f>
        <v>17.36</v>
      </c>
      <c r="J36" s="12">
        <f>497.52/12*4</f>
        <v>165.84</v>
      </c>
      <c r="K36" s="12">
        <f>158.4/12*4</f>
        <v>52.800000000000004</v>
      </c>
    </row>
    <row r="37" spans="1:11" ht="11.25">
      <c r="A37" s="10" t="s">
        <v>333</v>
      </c>
      <c r="B37" s="11" t="s">
        <v>352</v>
      </c>
      <c r="C37" s="12">
        <v>21901.32</v>
      </c>
      <c r="D37" s="12">
        <v>0</v>
      </c>
      <c r="E37" s="12">
        <v>0</v>
      </c>
      <c r="F37" s="12">
        <f t="shared" si="0"/>
        <v>0</v>
      </c>
      <c r="G37" s="12">
        <v>1.3</v>
      </c>
      <c r="H37" s="12">
        <v>0</v>
      </c>
      <c r="I37" s="12">
        <v>52.08</v>
      </c>
      <c r="J37" s="12">
        <v>497.52</v>
      </c>
      <c r="K37" s="12">
        <v>164.28</v>
      </c>
    </row>
    <row r="38" spans="1:11" ht="11.25">
      <c r="A38" s="10" t="s">
        <v>10</v>
      </c>
      <c r="B38" s="11" t="s">
        <v>353</v>
      </c>
      <c r="C38" s="12">
        <v>21166.71</v>
      </c>
      <c r="D38" s="12">
        <v>0</v>
      </c>
      <c r="E38" s="12">
        <v>0</v>
      </c>
      <c r="F38" s="12">
        <f t="shared" si="0"/>
        <v>0</v>
      </c>
      <c r="G38" s="12">
        <v>1.3</v>
      </c>
      <c r="H38" s="12">
        <v>0</v>
      </c>
      <c r="I38" s="12">
        <v>59.4</v>
      </c>
      <c r="J38" s="12">
        <v>563.4</v>
      </c>
      <c r="K38" s="12">
        <v>158.76</v>
      </c>
    </row>
    <row r="39" spans="1:11" ht="11.25">
      <c r="A39" s="10" t="s">
        <v>325</v>
      </c>
      <c r="B39" s="11" t="s">
        <v>353</v>
      </c>
      <c r="C39" s="12">
        <v>22203.89</v>
      </c>
      <c r="D39" s="12">
        <v>0</v>
      </c>
      <c r="E39" s="12">
        <v>0</v>
      </c>
      <c r="F39" s="12">
        <f t="shared" si="0"/>
        <v>0</v>
      </c>
      <c r="G39" s="12">
        <v>1.3</v>
      </c>
      <c r="H39" s="12">
        <v>0</v>
      </c>
      <c r="I39" s="12">
        <v>59.4</v>
      </c>
      <c r="J39" s="12">
        <v>563.4</v>
      </c>
      <c r="K39" s="12">
        <v>166.56</v>
      </c>
    </row>
    <row r="40" spans="1:11" ht="11.25">
      <c r="A40" s="10" t="s">
        <v>4</v>
      </c>
      <c r="B40" s="11" t="s">
        <v>353</v>
      </c>
      <c r="C40" s="12">
        <v>24338.14</v>
      </c>
      <c r="D40" s="12">
        <v>0</v>
      </c>
      <c r="E40" s="12">
        <v>0</v>
      </c>
      <c r="F40" s="12">
        <f t="shared" si="0"/>
        <v>0</v>
      </c>
      <c r="G40" s="12">
        <v>1.3</v>
      </c>
      <c r="H40" s="12">
        <v>0</v>
      </c>
      <c r="I40" s="12">
        <v>59.4</v>
      </c>
      <c r="J40" s="12">
        <v>563.4</v>
      </c>
      <c r="K40" s="12">
        <v>182.52</v>
      </c>
    </row>
    <row r="41" spans="1:11" ht="11.25">
      <c r="A41" s="10" t="s">
        <v>3</v>
      </c>
      <c r="B41" s="11" t="s">
        <v>353</v>
      </c>
      <c r="C41" s="12">
        <v>25377.76</v>
      </c>
      <c r="D41" s="12">
        <v>0</v>
      </c>
      <c r="E41" s="12">
        <v>0</v>
      </c>
      <c r="F41" s="12">
        <f t="shared" si="0"/>
        <v>0</v>
      </c>
      <c r="G41" s="12">
        <v>1.3</v>
      </c>
      <c r="H41" s="12">
        <v>0</v>
      </c>
      <c r="I41" s="12">
        <v>59.4</v>
      </c>
      <c r="J41" s="12">
        <v>563.4</v>
      </c>
      <c r="K41" s="12">
        <v>190.32</v>
      </c>
    </row>
    <row r="42" spans="1:11" ht="11.25">
      <c r="A42" s="10" t="s">
        <v>328</v>
      </c>
      <c r="B42" s="11" t="s">
        <v>353</v>
      </c>
      <c r="C42" s="12">
        <v>26510.86</v>
      </c>
      <c r="D42" s="12">
        <v>0</v>
      </c>
      <c r="E42" s="12">
        <v>0</v>
      </c>
      <c r="F42" s="12">
        <f t="shared" si="0"/>
        <v>0</v>
      </c>
      <c r="G42" s="12">
        <v>1.3</v>
      </c>
      <c r="H42" s="12">
        <v>0</v>
      </c>
      <c r="I42" s="12">
        <v>59.4</v>
      </c>
      <c r="J42" s="12">
        <v>563.4</v>
      </c>
      <c r="K42" s="12">
        <v>198.84</v>
      </c>
    </row>
    <row r="43" spans="1:11" ht="11.25">
      <c r="A43" s="10" t="s">
        <v>334</v>
      </c>
      <c r="B43" s="11" t="s">
        <v>353</v>
      </c>
      <c r="C43" s="12">
        <v>28342.72</v>
      </c>
      <c r="D43" s="12">
        <v>0</v>
      </c>
      <c r="E43" s="12">
        <v>0</v>
      </c>
      <c r="F43" s="12">
        <f t="shared" si="0"/>
        <v>0</v>
      </c>
      <c r="G43" s="12">
        <v>1.3</v>
      </c>
      <c r="H43" s="12">
        <v>0</v>
      </c>
      <c r="I43" s="12">
        <v>59.4</v>
      </c>
      <c r="J43" s="12">
        <v>563.4</v>
      </c>
      <c r="K43" s="12">
        <v>212.52</v>
      </c>
    </row>
    <row r="44" spans="1:11" ht="11.25">
      <c r="A44" s="13"/>
      <c r="B44" s="14"/>
      <c r="C44" s="12"/>
      <c r="D44" s="12"/>
      <c r="E44" s="12"/>
      <c r="F44" s="12"/>
      <c r="G44" s="12"/>
      <c r="H44" s="12"/>
      <c r="I44" s="12">
        <v>0</v>
      </c>
      <c r="J44" s="12">
        <v>0</v>
      </c>
      <c r="K44" s="12"/>
    </row>
    <row r="45" spans="1:11" ht="11.25">
      <c r="A45" s="13"/>
      <c r="B45" s="14"/>
      <c r="C45" s="12"/>
      <c r="D45" s="12"/>
      <c r="E45" s="12"/>
      <c r="F45" s="12"/>
      <c r="G45" s="12"/>
      <c r="H45" s="12"/>
      <c r="I45" s="12">
        <v>0</v>
      </c>
      <c r="J45" s="12">
        <v>0</v>
      </c>
      <c r="K45" s="12"/>
    </row>
    <row r="46" spans="1:11" ht="11.25">
      <c r="A46" s="13"/>
      <c r="B46" s="14"/>
      <c r="C46" s="12"/>
      <c r="D46" s="12"/>
      <c r="E46" s="12"/>
      <c r="F46" s="12"/>
      <c r="G46" s="12"/>
      <c r="H46" s="12"/>
      <c r="I46" s="12">
        <v>0</v>
      </c>
      <c r="J46" s="12">
        <v>0</v>
      </c>
      <c r="K46" s="12"/>
    </row>
    <row r="47" spans="1:11" ht="11.25">
      <c r="A47" s="13"/>
      <c r="B47" s="14"/>
      <c r="C47" s="12"/>
      <c r="D47" s="12"/>
      <c r="E47" s="12"/>
      <c r="F47" s="12"/>
      <c r="G47" s="12"/>
      <c r="H47" s="12"/>
      <c r="I47" s="12">
        <v>0</v>
      </c>
      <c r="J47" s="12">
        <v>0</v>
      </c>
      <c r="K47" s="12"/>
    </row>
    <row r="48" spans="1:11" ht="11.25">
      <c r="A48" s="13"/>
      <c r="B48" s="14"/>
      <c r="C48" s="12"/>
      <c r="D48" s="12"/>
      <c r="E48" s="12"/>
      <c r="F48" s="12"/>
      <c r="G48" s="12"/>
      <c r="H48" s="12"/>
      <c r="I48" s="12">
        <v>0</v>
      </c>
      <c r="J48" s="12">
        <v>0</v>
      </c>
      <c r="K48" s="12"/>
    </row>
    <row r="49" spans="1:11" ht="11.25">
      <c r="A49" s="13"/>
      <c r="B49" s="14"/>
      <c r="C49" s="12"/>
      <c r="D49" s="12"/>
      <c r="E49" s="12"/>
      <c r="F49" s="12"/>
      <c r="G49" s="12"/>
      <c r="H49" s="12"/>
      <c r="I49" s="12">
        <v>0</v>
      </c>
      <c r="J49" s="12">
        <v>0</v>
      </c>
      <c r="K49" s="12"/>
    </row>
    <row r="51" ht="11.25">
      <c r="A51" s="9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9"/>
  <sheetViews>
    <sheetView zoomScalePageLayoutView="0" workbookViewId="0" topLeftCell="A19">
      <selection activeCell="B9" sqref="B9"/>
    </sheetView>
  </sheetViews>
  <sheetFormatPr defaultColWidth="9.140625" defaultRowHeight="12.75"/>
  <cols>
    <col min="1" max="1" width="7.8515625" style="2" bestFit="1" customWidth="1"/>
    <col min="2" max="2" width="43.140625" style="2" bestFit="1" customWidth="1"/>
    <col min="3" max="16384" width="9.140625" style="2" customWidth="1"/>
  </cols>
  <sheetData>
    <row r="1" spans="1:2" ht="11.25">
      <c r="A1" s="24" t="s">
        <v>388</v>
      </c>
      <c r="B1" s="24" t="s">
        <v>341</v>
      </c>
    </row>
    <row r="2" spans="1:2" ht="11.25">
      <c r="A2" s="1" t="s">
        <v>91</v>
      </c>
      <c r="B2" s="1" t="s">
        <v>92</v>
      </c>
    </row>
    <row r="3" spans="1:2" ht="11.25">
      <c r="A3" s="1" t="s">
        <v>93</v>
      </c>
      <c r="B3" s="1" t="s">
        <v>94</v>
      </c>
    </row>
    <row r="4" spans="1:2" ht="11.25">
      <c r="A4" s="1" t="s">
        <v>117</v>
      </c>
      <c r="B4" s="1" t="s">
        <v>118</v>
      </c>
    </row>
    <row r="5" spans="1:2" ht="11.25">
      <c r="A5" s="1" t="s">
        <v>268</v>
      </c>
      <c r="B5" s="1" t="s">
        <v>269</v>
      </c>
    </row>
    <row r="6" spans="1:2" ht="11.25">
      <c r="A6" s="1" t="s">
        <v>270</v>
      </c>
      <c r="B6" s="1" t="s">
        <v>271</v>
      </c>
    </row>
    <row r="7" spans="1:2" ht="11.25">
      <c r="A7" s="1" t="s">
        <v>119</v>
      </c>
      <c r="B7" s="1" t="s">
        <v>120</v>
      </c>
    </row>
    <row r="8" spans="1:2" ht="11.25">
      <c r="A8" s="1" t="s">
        <v>274</v>
      </c>
      <c r="B8" s="1" t="s">
        <v>275</v>
      </c>
    </row>
    <row r="9" spans="1:2" ht="11.25">
      <c r="A9" s="1" t="s">
        <v>276</v>
      </c>
      <c r="B9" s="1" t="s">
        <v>277</v>
      </c>
    </row>
    <row r="10" spans="1:2" ht="11.25">
      <c r="A10" s="1" t="s">
        <v>121</v>
      </c>
      <c r="B10" s="1" t="s">
        <v>122</v>
      </c>
    </row>
    <row r="11" spans="1:2" ht="11.25">
      <c r="A11" s="1" t="s">
        <v>280</v>
      </c>
      <c r="B11" s="1" t="s">
        <v>281</v>
      </c>
    </row>
    <row r="12" spans="1:2" ht="11.25">
      <c r="A12" s="1" t="s">
        <v>123</v>
      </c>
      <c r="B12" s="1" t="s">
        <v>124</v>
      </c>
    </row>
    <row r="13" spans="1:2" ht="11.25">
      <c r="A13" s="1" t="s">
        <v>278</v>
      </c>
      <c r="B13" s="1" t="s">
        <v>279</v>
      </c>
    </row>
    <row r="14" spans="1:2" ht="11.25">
      <c r="A14" s="1" t="s">
        <v>125</v>
      </c>
      <c r="B14" s="1" t="s">
        <v>126</v>
      </c>
    </row>
    <row r="15" spans="1:2" ht="11.25">
      <c r="A15" s="1" t="s">
        <v>272</v>
      </c>
      <c r="B15" s="1" t="s">
        <v>273</v>
      </c>
    </row>
    <row r="16" spans="1:2" ht="11.25">
      <c r="A16" s="1" t="s">
        <v>127</v>
      </c>
      <c r="B16" s="1" t="s">
        <v>128</v>
      </c>
    </row>
    <row r="17" spans="1:2" ht="11.25">
      <c r="A17" s="1" t="s">
        <v>262</v>
      </c>
      <c r="B17" s="1" t="s">
        <v>263</v>
      </c>
    </row>
    <row r="18" spans="1:2" ht="11.25">
      <c r="A18" s="1" t="s">
        <v>129</v>
      </c>
      <c r="B18" s="1" t="s">
        <v>130</v>
      </c>
    </row>
    <row r="19" spans="1:2" ht="11.25">
      <c r="A19" s="1" t="s">
        <v>219</v>
      </c>
      <c r="B19" s="1" t="s">
        <v>220</v>
      </c>
    </row>
    <row r="20" spans="1:2" ht="11.25">
      <c r="A20" s="1" t="s">
        <v>291</v>
      </c>
      <c r="B20" s="1" t="s">
        <v>292</v>
      </c>
    </row>
    <row r="21" spans="1:2" ht="11.25">
      <c r="A21" s="1" t="s">
        <v>293</v>
      </c>
      <c r="B21" s="1" t="s">
        <v>294</v>
      </c>
    </row>
    <row r="22" spans="1:2" ht="11.25">
      <c r="A22" s="1" t="s">
        <v>296</v>
      </c>
      <c r="B22" s="1" t="s">
        <v>297</v>
      </c>
    </row>
    <row r="23" spans="1:2" ht="11.25">
      <c r="A23" s="1" t="s">
        <v>95</v>
      </c>
      <c r="B23" s="1" t="s">
        <v>96</v>
      </c>
    </row>
    <row r="24" spans="1:2" ht="11.25">
      <c r="A24" s="1" t="s">
        <v>131</v>
      </c>
      <c r="B24" s="1" t="s">
        <v>132</v>
      </c>
    </row>
    <row r="25" spans="1:2" ht="11.25">
      <c r="A25" s="1" t="s">
        <v>298</v>
      </c>
      <c r="B25" s="1" t="s">
        <v>299</v>
      </c>
    </row>
    <row r="26" spans="1:2" ht="11.25">
      <c r="A26" s="1" t="s">
        <v>133</v>
      </c>
      <c r="B26" s="1" t="s">
        <v>134</v>
      </c>
    </row>
    <row r="27" spans="1:2" ht="11.25">
      <c r="A27" s="1" t="s">
        <v>97</v>
      </c>
      <c r="B27" s="1" t="s">
        <v>98</v>
      </c>
    </row>
    <row r="28" spans="1:2" ht="11.25">
      <c r="A28" s="1" t="s">
        <v>135</v>
      </c>
      <c r="B28" s="1" t="s">
        <v>136</v>
      </c>
    </row>
    <row r="29" spans="1:2" ht="11.25">
      <c r="A29" s="1" t="s">
        <v>264</v>
      </c>
      <c r="B29" s="1" t="s">
        <v>265</v>
      </c>
    </row>
    <row r="30" spans="1:2" ht="11.25">
      <c r="A30" s="1" t="s">
        <v>137</v>
      </c>
      <c r="B30" s="1" t="s">
        <v>138</v>
      </c>
    </row>
    <row r="31" spans="1:2" ht="11.25">
      <c r="A31" s="1" t="s">
        <v>139</v>
      </c>
      <c r="B31" s="1" t="s">
        <v>140</v>
      </c>
    </row>
    <row r="32" spans="1:2" ht="11.25">
      <c r="A32" s="1" t="s">
        <v>266</v>
      </c>
      <c r="B32" s="1" t="s">
        <v>267</v>
      </c>
    </row>
    <row r="33" spans="1:2" ht="11.25">
      <c r="A33" s="1" t="s">
        <v>99</v>
      </c>
      <c r="B33" s="1" t="s">
        <v>100</v>
      </c>
    </row>
    <row r="34" spans="1:2" ht="11.25">
      <c r="A34" s="1" t="s">
        <v>141</v>
      </c>
      <c r="B34" s="1" t="s">
        <v>142</v>
      </c>
    </row>
    <row r="35" spans="1:2" ht="11.25">
      <c r="A35" s="1" t="s">
        <v>221</v>
      </c>
      <c r="B35" s="1" t="s">
        <v>222</v>
      </c>
    </row>
    <row r="36" spans="1:2" ht="11.25">
      <c r="A36" s="1" t="s">
        <v>143</v>
      </c>
      <c r="B36" s="1" t="s">
        <v>144</v>
      </c>
    </row>
    <row r="37" spans="1:2" ht="11.25">
      <c r="A37" s="1" t="s">
        <v>223</v>
      </c>
      <c r="B37" s="1" t="s">
        <v>224</v>
      </c>
    </row>
    <row r="38" spans="1:2" ht="11.25">
      <c r="A38" s="1" t="s">
        <v>145</v>
      </c>
      <c r="B38" s="1" t="s">
        <v>146</v>
      </c>
    </row>
    <row r="39" spans="1:2" ht="11.25">
      <c r="A39" s="1" t="s">
        <v>225</v>
      </c>
      <c r="B39" s="1" t="s">
        <v>226</v>
      </c>
    </row>
    <row r="40" spans="1:2" ht="11.25">
      <c r="A40" s="1" t="s">
        <v>147</v>
      </c>
      <c r="B40" s="1" t="s">
        <v>148</v>
      </c>
    </row>
    <row r="41" spans="1:2" ht="11.25">
      <c r="A41" s="1" t="s">
        <v>286</v>
      </c>
      <c r="B41" s="1" t="s">
        <v>287</v>
      </c>
    </row>
    <row r="42" spans="1:2" ht="11.25">
      <c r="A42" s="1" t="s">
        <v>149</v>
      </c>
      <c r="B42" s="1" t="s">
        <v>229</v>
      </c>
    </row>
    <row r="43" spans="1:2" ht="11.25">
      <c r="A43" s="1" t="s">
        <v>149</v>
      </c>
      <c r="B43" s="1" t="s">
        <v>150</v>
      </c>
    </row>
    <row r="44" spans="1:2" ht="11.25">
      <c r="A44" s="1" t="s">
        <v>227</v>
      </c>
      <c r="B44" s="1" t="s">
        <v>228</v>
      </c>
    </row>
    <row r="45" spans="1:2" ht="11.25">
      <c r="A45" s="1" t="s">
        <v>232</v>
      </c>
      <c r="B45" s="1" t="s">
        <v>233</v>
      </c>
    </row>
    <row r="46" spans="1:2" ht="11.25">
      <c r="A46" s="1" t="s">
        <v>101</v>
      </c>
      <c r="B46" s="1" t="s">
        <v>102</v>
      </c>
    </row>
    <row r="47" spans="1:2" ht="11.25">
      <c r="A47" s="1" t="s">
        <v>151</v>
      </c>
      <c r="B47" s="1" t="s">
        <v>152</v>
      </c>
    </row>
    <row r="48" spans="1:2" ht="11.25">
      <c r="A48" s="1" t="s">
        <v>282</v>
      </c>
      <c r="B48" s="1" t="s">
        <v>283</v>
      </c>
    </row>
    <row r="49" spans="1:2" ht="11.25">
      <c r="A49" s="1" t="s">
        <v>153</v>
      </c>
      <c r="B49" s="1" t="s">
        <v>154</v>
      </c>
    </row>
    <row r="50" spans="1:2" ht="11.25">
      <c r="A50" s="1" t="s">
        <v>103</v>
      </c>
      <c r="B50" s="1" t="s">
        <v>104</v>
      </c>
    </row>
    <row r="51" spans="1:2" ht="11.25">
      <c r="A51" s="1" t="s">
        <v>155</v>
      </c>
      <c r="B51" s="1" t="s">
        <v>156</v>
      </c>
    </row>
    <row r="52" spans="1:2" ht="11.25">
      <c r="A52" s="1" t="s">
        <v>157</v>
      </c>
      <c r="B52" s="1" t="s">
        <v>158</v>
      </c>
    </row>
    <row r="53" spans="1:2" ht="11.25">
      <c r="A53" s="1" t="s">
        <v>246</v>
      </c>
      <c r="B53" s="1" t="s">
        <v>247</v>
      </c>
    </row>
    <row r="54" spans="1:2" ht="11.25">
      <c r="A54" s="1" t="s">
        <v>248</v>
      </c>
      <c r="B54" s="1" t="s">
        <v>249</v>
      </c>
    </row>
    <row r="55" spans="1:2" ht="11.25">
      <c r="A55" s="1" t="s">
        <v>159</v>
      </c>
      <c r="B55" s="1" t="s">
        <v>160</v>
      </c>
    </row>
    <row r="56" spans="1:2" ht="11.25">
      <c r="A56" s="1" t="s">
        <v>105</v>
      </c>
      <c r="B56" s="1" t="s">
        <v>106</v>
      </c>
    </row>
    <row r="57" spans="1:2" ht="11.25">
      <c r="A57" s="1" t="s">
        <v>161</v>
      </c>
      <c r="B57" s="1" t="s">
        <v>162</v>
      </c>
    </row>
    <row r="58" spans="1:2" ht="11.25">
      <c r="A58" s="1" t="s">
        <v>163</v>
      </c>
      <c r="B58" s="1" t="s">
        <v>164</v>
      </c>
    </row>
    <row r="59" spans="1:2" ht="11.25">
      <c r="A59" s="1" t="s">
        <v>107</v>
      </c>
      <c r="B59" s="1" t="s">
        <v>108</v>
      </c>
    </row>
    <row r="60" spans="1:2" ht="11.25">
      <c r="A60" s="1" t="s">
        <v>165</v>
      </c>
      <c r="B60" s="1" t="s">
        <v>166</v>
      </c>
    </row>
    <row r="61" spans="1:2" ht="11.25">
      <c r="A61" s="1" t="s">
        <v>260</v>
      </c>
      <c r="B61" s="1" t="s">
        <v>261</v>
      </c>
    </row>
    <row r="62" spans="1:2" ht="11.25">
      <c r="A62" s="1" t="s">
        <v>167</v>
      </c>
      <c r="B62" s="1" t="s">
        <v>168</v>
      </c>
    </row>
    <row r="63" spans="1:2" ht="11.25">
      <c r="A63" s="1" t="s">
        <v>252</v>
      </c>
      <c r="B63" s="1" t="s">
        <v>253</v>
      </c>
    </row>
    <row r="64" spans="1:2" ht="11.25">
      <c r="A64" s="1" t="s">
        <v>169</v>
      </c>
      <c r="B64" s="1" t="s">
        <v>170</v>
      </c>
    </row>
    <row r="65" spans="1:2" ht="11.25">
      <c r="A65" s="1" t="s">
        <v>109</v>
      </c>
      <c r="B65" s="1" t="s">
        <v>110</v>
      </c>
    </row>
    <row r="66" spans="1:2" ht="11.25">
      <c r="A66" s="1" t="s">
        <v>171</v>
      </c>
      <c r="B66" s="1" t="s">
        <v>172</v>
      </c>
    </row>
    <row r="67" spans="1:2" ht="11.25">
      <c r="A67" s="1" t="s">
        <v>300</v>
      </c>
      <c r="B67" s="1" t="s">
        <v>301</v>
      </c>
    </row>
    <row r="68" spans="1:2" ht="11.25">
      <c r="A68" s="1" t="s">
        <v>173</v>
      </c>
      <c r="B68" s="1" t="s">
        <v>174</v>
      </c>
    </row>
    <row r="69" spans="1:2" ht="11.25">
      <c r="A69" s="1" t="s">
        <v>234</v>
      </c>
      <c r="B69" s="1" t="s">
        <v>235</v>
      </c>
    </row>
    <row r="70" spans="1:2" ht="11.25">
      <c r="A70" s="1" t="s">
        <v>175</v>
      </c>
      <c r="B70" s="1" t="s">
        <v>176</v>
      </c>
    </row>
    <row r="71" spans="1:2" ht="11.25">
      <c r="A71" s="1" t="s">
        <v>177</v>
      </c>
      <c r="B71" s="1" t="s">
        <v>178</v>
      </c>
    </row>
    <row r="72" spans="1:2" ht="11.25">
      <c r="A72" s="1" t="s">
        <v>236</v>
      </c>
      <c r="B72" s="1" t="s">
        <v>237</v>
      </c>
    </row>
    <row r="73" spans="1:2" ht="11.25">
      <c r="A73" s="1" t="s">
        <v>238</v>
      </c>
      <c r="B73" s="1" t="s">
        <v>239</v>
      </c>
    </row>
    <row r="74" spans="1:2" ht="11.25">
      <c r="A74" s="1" t="s">
        <v>179</v>
      </c>
      <c r="B74" s="1" t="s">
        <v>180</v>
      </c>
    </row>
    <row r="75" spans="1:2" ht="11.25">
      <c r="A75" s="1" t="s">
        <v>240</v>
      </c>
      <c r="B75" s="1" t="s">
        <v>241</v>
      </c>
    </row>
    <row r="76" spans="1:2" ht="11.25">
      <c r="A76" s="1" t="s">
        <v>181</v>
      </c>
      <c r="B76" s="1" t="s">
        <v>182</v>
      </c>
    </row>
    <row r="77" spans="1:2" ht="11.25">
      <c r="A77" s="1" t="s">
        <v>244</v>
      </c>
      <c r="B77" s="1" t="s">
        <v>245</v>
      </c>
    </row>
    <row r="78" spans="1:2" ht="11.25">
      <c r="A78" s="1" t="s">
        <v>111</v>
      </c>
      <c r="B78" s="1" t="s">
        <v>112</v>
      </c>
    </row>
    <row r="79" spans="1:2" ht="11.25">
      <c r="A79" s="1" t="s">
        <v>183</v>
      </c>
      <c r="B79" s="1" t="s">
        <v>184</v>
      </c>
    </row>
    <row r="80" spans="1:2" ht="11.25">
      <c r="A80" s="1" t="s">
        <v>242</v>
      </c>
      <c r="B80" s="1" t="s">
        <v>243</v>
      </c>
    </row>
    <row r="81" spans="1:2" ht="11.25">
      <c r="A81" s="1" t="s">
        <v>288</v>
      </c>
      <c r="B81" s="1" t="s">
        <v>289</v>
      </c>
    </row>
    <row r="82" spans="1:2" ht="11.25">
      <c r="A82" s="1" t="s">
        <v>185</v>
      </c>
      <c r="B82" s="1" t="s">
        <v>186</v>
      </c>
    </row>
    <row r="83" spans="1:2" ht="11.25">
      <c r="A83" s="1" t="s">
        <v>290</v>
      </c>
      <c r="B83" s="1" t="s">
        <v>186</v>
      </c>
    </row>
    <row r="84" spans="1:2" ht="11.25">
      <c r="A84" s="1" t="s">
        <v>187</v>
      </c>
      <c r="B84" s="1" t="s">
        <v>188</v>
      </c>
    </row>
    <row r="85" spans="1:2" ht="11.25">
      <c r="A85" s="1" t="s">
        <v>250</v>
      </c>
      <c r="B85" s="1" t="s">
        <v>251</v>
      </c>
    </row>
    <row r="86" spans="1:2" ht="11.25">
      <c r="A86" s="1" t="s">
        <v>189</v>
      </c>
      <c r="B86" s="1" t="s">
        <v>190</v>
      </c>
    </row>
    <row r="87" spans="1:2" ht="11.25">
      <c r="A87" s="1" t="s">
        <v>284</v>
      </c>
      <c r="B87" s="1" t="s">
        <v>285</v>
      </c>
    </row>
    <row r="88" spans="1:2" ht="11.25">
      <c r="A88" s="1" t="s">
        <v>191</v>
      </c>
      <c r="B88" s="1" t="s">
        <v>192</v>
      </c>
    </row>
    <row r="89" spans="1:2" ht="11.25">
      <c r="A89" s="1" t="s">
        <v>230</v>
      </c>
      <c r="B89" s="1" t="s">
        <v>231</v>
      </c>
    </row>
    <row r="90" spans="1:2" ht="11.25">
      <c r="A90" s="1" t="s">
        <v>113</v>
      </c>
      <c r="B90" s="1" t="s">
        <v>114</v>
      </c>
    </row>
    <row r="91" spans="1:2" ht="11.25">
      <c r="A91" s="1" t="s">
        <v>193</v>
      </c>
      <c r="B91" s="1" t="s">
        <v>194</v>
      </c>
    </row>
    <row r="92" spans="1:2" ht="11.25">
      <c r="A92" s="1" t="s">
        <v>295</v>
      </c>
      <c r="B92" s="1" t="s">
        <v>194</v>
      </c>
    </row>
    <row r="93" spans="1:2" ht="11.25">
      <c r="A93" s="1" t="s">
        <v>195</v>
      </c>
      <c r="B93" s="1" t="s">
        <v>196</v>
      </c>
    </row>
    <row r="94" spans="1:2" ht="11.25">
      <c r="A94" s="1" t="s">
        <v>254</v>
      </c>
      <c r="B94" s="1" t="s">
        <v>255</v>
      </c>
    </row>
    <row r="95" spans="1:2" ht="11.25">
      <c r="A95" s="1" t="s">
        <v>197</v>
      </c>
      <c r="B95" s="1" t="s">
        <v>198</v>
      </c>
    </row>
    <row r="96" spans="1:2" ht="11.25">
      <c r="A96" s="1" t="s">
        <v>256</v>
      </c>
      <c r="B96" s="1" t="s">
        <v>257</v>
      </c>
    </row>
    <row r="97" spans="1:2" ht="11.25">
      <c r="A97" s="1" t="s">
        <v>199</v>
      </c>
      <c r="B97" s="1" t="s">
        <v>200</v>
      </c>
    </row>
    <row r="98" spans="1:2" ht="11.25">
      <c r="A98" s="1" t="s">
        <v>201</v>
      </c>
      <c r="B98" s="1" t="s">
        <v>202</v>
      </c>
    </row>
    <row r="99" spans="1:2" ht="11.25">
      <c r="A99" s="1" t="s">
        <v>203</v>
      </c>
      <c r="B99" s="1" t="s">
        <v>204</v>
      </c>
    </row>
    <row r="100" spans="1:2" ht="11.25">
      <c r="A100" s="1" t="s">
        <v>258</v>
      </c>
      <c r="B100" s="1" t="s">
        <v>259</v>
      </c>
    </row>
    <row r="101" spans="1:2" ht="11.25">
      <c r="A101" s="1" t="s">
        <v>205</v>
      </c>
      <c r="B101" s="1" t="s">
        <v>206</v>
      </c>
    </row>
    <row r="102" spans="1:2" ht="11.25">
      <c r="A102" s="1" t="s">
        <v>115</v>
      </c>
      <c r="B102" s="1" t="s">
        <v>116</v>
      </c>
    </row>
    <row r="103" spans="1:2" ht="11.25">
      <c r="A103" s="1" t="s">
        <v>207</v>
      </c>
      <c r="B103" s="1" t="s">
        <v>208</v>
      </c>
    </row>
    <row r="104" spans="1:2" ht="11.25">
      <c r="A104" s="1" t="s">
        <v>209</v>
      </c>
      <c r="B104" s="1" t="s">
        <v>210</v>
      </c>
    </row>
    <row r="105" spans="1:2" ht="11.25">
      <c r="A105" s="1" t="s">
        <v>211</v>
      </c>
      <c r="B105" s="1" t="s">
        <v>212</v>
      </c>
    </row>
    <row r="106" spans="1:2" ht="11.25">
      <c r="A106" s="1" t="s">
        <v>213</v>
      </c>
      <c r="B106" s="1" t="s">
        <v>214</v>
      </c>
    </row>
    <row r="107" spans="1:2" ht="11.25">
      <c r="A107" s="1" t="s">
        <v>215</v>
      </c>
      <c r="B107" s="1" t="s">
        <v>216</v>
      </c>
    </row>
    <row r="108" spans="1:2" ht="11.25">
      <c r="A108" s="1" t="s">
        <v>217</v>
      </c>
      <c r="B108" s="1" t="s">
        <v>218</v>
      </c>
    </row>
    <row r="109" spans="1:2" ht="11.25">
      <c r="A109" s="1" t="s">
        <v>302</v>
      </c>
      <c r="B109" s="1" t="s">
        <v>303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Galatone</dc:creator>
  <cp:keywords/>
  <dc:description/>
  <cp:lastModifiedBy>PAGANO</cp:lastModifiedBy>
  <cp:lastPrinted>2016-02-16T12:26:36Z</cp:lastPrinted>
  <dcterms:created xsi:type="dcterms:W3CDTF">2008-03-12T12:14:12Z</dcterms:created>
  <dcterms:modified xsi:type="dcterms:W3CDTF">2016-02-16T12:29:25Z</dcterms:modified>
  <cp:category/>
  <cp:version/>
  <cp:contentType/>
  <cp:contentStatus/>
</cp:coreProperties>
</file>